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1760" yWindow="90" windowWidth="12045" windowHeight="9225" tabRatio="761" firstSheet="2" activeTab="6"/>
  </bookViews>
  <sheets>
    <sheet name="封面" sheetId="8" r:id="rId1"/>
    <sheet name="目录" sheetId="9" r:id="rId2"/>
    <sheet name="表一" sheetId="12" r:id="rId3"/>
    <sheet name="表二" sheetId="48" r:id="rId4"/>
    <sheet name="表三" sheetId="18" r:id="rId5"/>
    <sheet name="表四" sheetId="6" r:id="rId6"/>
    <sheet name="表五" sheetId="5" r:id="rId7"/>
    <sheet name="表六 (1)" sheetId="26" r:id="rId8"/>
    <sheet name="表六（2)" sheetId="23" r:id="rId9"/>
    <sheet name="表七 (1)" sheetId="27" r:id="rId10"/>
    <sheet name="表七(2)" sheetId="24" r:id="rId11"/>
    <sheet name="表八" sheetId="2" r:id="rId12"/>
    <sheet name="表九" sheetId="11" r:id="rId13"/>
    <sheet name="表十" sheetId="36" r:id="rId14"/>
    <sheet name="表十一" sheetId="10" r:id="rId15"/>
  </sheets>
  <definedNames>
    <definedName name="_xlnm.Print_Area" localSheetId="4">表三!$A$1:$F$90</definedName>
    <definedName name="_xlnm.Print_Titles" localSheetId="11">表八!$1:$5</definedName>
    <definedName name="_xlnm.Print_Titles" localSheetId="12">表九!$1:$5</definedName>
    <definedName name="_xlnm.Print_Titles" localSheetId="7">'表六 (1)'!$A:$A</definedName>
    <definedName name="_xlnm.Print_Titles" localSheetId="8">'表六（2)'!$A:$A</definedName>
    <definedName name="_xlnm.Print_Titles" localSheetId="9">'表七 (1)'!$A:$A</definedName>
    <definedName name="_xlnm.Print_Titles" localSheetId="10">'表七(2)'!$A:$A</definedName>
    <definedName name="_xlnm.Print_Titles" localSheetId="4">表三!$1:$5</definedName>
    <definedName name="_xlnm.Print_Titles" localSheetId="14">表十一!$1:$5</definedName>
    <definedName name="_xlnm.Print_Titles" localSheetId="5">表四!$1:$5</definedName>
    <definedName name="_xlnm.Print_Titles" localSheetId="6">表五!$A:$A,表五!$1:$4</definedName>
    <definedName name="_xlnm.Print_Titles" localSheetId="2">表一!$1:$4</definedName>
    <definedName name="地区名称" localSheetId="1">目录!#REF!</definedName>
    <definedName name="地区名称">封面!$B$2:$B$6</definedName>
  </definedNames>
  <calcPr calcId="124519" iterate="1"/>
</workbook>
</file>

<file path=xl/calcChain.xml><?xml version="1.0" encoding="utf-8"?>
<calcChain xmlns="http://schemas.openxmlformats.org/spreadsheetml/2006/main">
  <c r="B23" i="36"/>
  <c r="H72" i="2"/>
  <c r="H71"/>
  <c r="H70"/>
  <c r="H69"/>
  <c r="H68"/>
  <c r="H67"/>
  <c r="H66"/>
  <c r="H65"/>
  <c r="H64"/>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D46"/>
  <c r="D47"/>
  <c r="D48"/>
  <c r="D49"/>
  <c r="D50"/>
  <c r="D51"/>
  <c r="D52"/>
  <c r="D53"/>
  <c r="D54"/>
  <c r="D55"/>
  <c r="D56"/>
  <c r="D57"/>
  <c r="D58"/>
  <c r="D59"/>
  <c r="D60"/>
  <c r="D61"/>
  <c r="D62"/>
  <c r="D64"/>
  <c r="D65"/>
  <c r="D66"/>
  <c r="D67"/>
  <c r="D68"/>
  <c r="D69"/>
  <c r="D70"/>
  <c r="D71"/>
  <c r="D72"/>
  <c r="D7"/>
  <c r="D8"/>
  <c r="D9"/>
  <c r="D10"/>
  <c r="D11"/>
  <c r="D12"/>
  <c r="D13"/>
  <c r="D14"/>
  <c r="D15"/>
  <c r="D16"/>
  <c r="D17"/>
  <c r="D18"/>
  <c r="D19"/>
  <c r="D20"/>
  <c r="D21"/>
  <c r="D22"/>
  <c r="D23"/>
  <c r="D24"/>
  <c r="D25"/>
  <c r="D26"/>
  <c r="D27"/>
  <c r="D28"/>
  <c r="D29"/>
  <c r="D30"/>
  <c r="D31"/>
  <c r="D32"/>
  <c r="D33"/>
  <c r="D34"/>
  <c r="D35"/>
  <c r="D36"/>
  <c r="D37"/>
  <c r="D38"/>
  <c r="D39"/>
  <c r="D40"/>
  <c r="D41"/>
  <c r="D42"/>
  <c r="D43"/>
  <c r="D44"/>
  <c r="D45"/>
  <c r="D6"/>
  <c r="B30" i="5"/>
  <c r="B90" i="18"/>
  <c r="B7"/>
  <c r="B77"/>
  <c r="B8"/>
  <c r="B16"/>
  <c r="B63" i="2"/>
  <c r="B73" s="1"/>
  <c r="F73"/>
  <c r="F63"/>
  <c r="F62"/>
  <c r="F6"/>
  <c r="B62"/>
  <c r="B33" i="12"/>
  <c r="B5"/>
  <c r="B22"/>
  <c r="D258" i="11"/>
  <c r="D257"/>
  <c r="D270" s="1"/>
  <c r="B258" l="1"/>
  <c r="B257"/>
  <c r="B270" l="1"/>
  <c r="G73" i="2"/>
  <c r="G63"/>
  <c r="H63" s="1"/>
  <c r="G62"/>
  <c r="C63"/>
  <c r="D63" s="1"/>
  <c r="C64"/>
  <c r="C62"/>
  <c r="H73" l="1"/>
  <c r="C73"/>
  <c r="D73" s="1"/>
  <c r="B63" i="27"/>
  <c r="B64"/>
  <c r="B65"/>
  <c r="B66"/>
  <c r="B67"/>
  <c r="B68"/>
  <c r="B69"/>
  <c r="B98"/>
  <c r="B130"/>
  <c r="B131"/>
  <c r="B132"/>
  <c r="B133"/>
  <c r="B134"/>
  <c r="B135"/>
  <c r="B136"/>
  <c r="B137"/>
  <c r="B138"/>
  <c r="B139"/>
  <c r="B140"/>
  <c r="B28"/>
  <c r="B29"/>
  <c r="B30"/>
  <c r="B31"/>
  <c r="B32"/>
  <c r="B33"/>
  <c r="B34"/>
  <c r="B35"/>
  <c r="B36"/>
  <c r="B37"/>
  <c r="B38"/>
  <c r="B39"/>
  <c r="B40"/>
  <c r="B41"/>
  <c r="B42"/>
  <c r="B44"/>
  <c r="B6"/>
  <c r="D7"/>
  <c r="E7"/>
  <c r="F7"/>
  <c r="G7"/>
  <c r="H7"/>
  <c r="I7"/>
  <c r="J7"/>
  <c r="K7"/>
  <c r="L7"/>
  <c r="M7"/>
  <c r="N7"/>
  <c r="O7"/>
  <c r="P7"/>
  <c r="Q7"/>
  <c r="R7"/>
  <c r="S7"/>
  <c r="T7"/>
  <c r="U7"/>
  <c r="V7"/>
  <c r="W7"/>
  <c r="X7"/>
  <c r="Y7"/>
  <c r="Z7"/>
  <c r="AA7"/>
  <c r="AB7"/>
  <c r="AC7"/>
  <c r="AD7"/>
  <c r="AE7"/>
  <c r="AF7"/>
  <c r="AG7"/>
  <c r="AH7"/>
  <c r="AI7"/>
  <c r="AJ7"/>
  <c r="AK7"/>
  <c r="AL7"/>
  <c r="C7"/>
  <c r="C8"/>
  <c r="D8"/>
  <c r="E8"/>
  <c r="F8"/>
  <c r="G8"/>
  <c r="H8"/>
  <c r="I8"/>
  <c r="J8"/>
  <c r="K8"/>
  <c r="L8"/>
  <c r="M8"/>
  <c r="N8"/>
  <c r="O8"/>
  <c r="P8"/>
  <c r="Q8"/>
  <c r="R8"/>
  <c r="S8"/>
  <c r="T8"/>
  <c r="U8"/>
  <c r="V8"/>
  <c r="W8"/>
  <c r="X8"/>
  <c r="Y8"/>
  <c r="Z8"/>
  <c r="AA8"/>
  <c r="AB8"/>
  <c r="AC8"/>
  <c r="AD8"/>
  <c r="AE8"/>
  <c r="AF8"/>
  <c r="AG8"/>
  <c r="AH8"/>
  <c r="AI8"/>
  <c r="AJ8"/>
  <c r="AK8"/>
  <c r="AL8"/>
  <c r="B6" i="23" l="1"/>
  <c r="Z8"/>
  <c r="C8"/>
  <c r="D8"/>
  <c r="F8"/>
  <c r="G8"/>
  <c r="H8"/>
  <c r="I8"/>
  <c r="J8"/>
  <c r="K8"/>
  <c r="L8"/>
  <c r="M8"/>
  <c r="N8"/>
  <c r="O8"/>
  <c r="P8"/>
  <c r="Q8"/>
  <c r="R8"/>
  <c r="S8"/>
  <c r="T8"/>
  <c r="U8"/>
  <c r="V8"/>
  <c r="W8"/>
  <c r="X8"/>
  <c r="Y8"/>
  <c r="B7" i="26" l="1"/>
  <c r="B152" i="24" l="1"/>
  <c r="B152" i="27" s="1"/>
  <c r="B151" i="24"/>
  <c r="B151" i="27" s="1"/>
  <c r="B150" i="24"/>
  <c r="B150" i="27" s="1"/>
  <c r="W149" i="24"/>
  <c r="W147" s="1"/>
  <c r="V149"/>
  <c r="V147" s="1"/>
  <c r="U149"/>
  <c r="U147" s="1"/>
  <c r="T149"/>
  <c r="S149"/>
  <c r="S147" s="1"/>
  <c r="R149"/>
  <c r="R147" s="1"/>
  <c r="Q149"/>
  <c r="Q147" s="1"/>
  <c r="P149"/>
  <c r="O149"/>
  <c r="O147" s="1"/>
  <c r="N149"/>
  <c r="N147" s="1"/>
  <c r="M149"/>
  <c r="M147" s="1"/>
  <c r="L149"/>
  <c r="K149"/>
  <c r="K147" s="1"/>
  <c r="J149"/>
  <c r="J147" s="1"/>
  <c r="I149"/>
  <c r="I147" s="1"/>
  <c r="H149"/>
  <c r="G149"/>
  <c r="G147" s="1"/>
  <c r="F149"/>
  <c r="F147" s="1"/>
  <c r="E149"/>
  <c r="E147" s="1"/>
  <c r="D149"/>
  <c r="C149"/>
  <c r="C147" s="1"/>
  <c r="B148"/>
  <c r="T147"/>
  <c r="P147"/>
  <c r="L147"/>
  <c r="H147"/>
  <c r="D147"/>
  <c r="C152" i="27"/>
  <c r="C151"/>
  <c r="C150"/>
  <c r="AL149"/>
  <c r="AK149"/>
  <c r="AJ149"/>
  <c r="AJ147" s="1"/>
  <c r="AI149"/>
  <c r="AH149"/>
  <c r="AG149"/>
  <c r="AF149"/>
  <c r="AF147" s="1"/>
  <c r="AE149"/>
  <c r="AD149"/>
  <c r="AC149"/>
  <c r="AB149"/>
  <c r="AB147" s="1"/>
  <c r="AA149"/>
  <c r="Z149"/>
  <c r="Y149"/>
  <c r="X149"/>
  <c r="X147" s="1"/>
  <c r="W149"/>
  <c r="V149"/>
  <c r="U149"/>
  <c r="T149"/>
  <c r="T147" s="1"/>
  <c r="S149"/>
  <c r="R149"/>
  <c r="Q149"/>
  <c r="P149"/>
  <c r="P147" s="1"/>
  <c r="O149"/>
  <c r="N149"/>
  <c r="M149"/>
  <c r="L149"/>
  <c r="L147" s="1"/>
  <c r="K149"/>
  <c r="J149"/>
  <c r="I149"/>
  <c r="H149"/>
  <c r="H147" s="1"/>
  <c r="G149"/>
  <c r="F149"/>
  <c r="E149"/>
  <c r="D149"/>
  <c r="D147" s="1"/>
  <c r="C148"/>
  <c r="AL147"/>
  <c r="AK147"/>
  <c r="AI147"/>
  <c r="AH147"/>
  <c r="AG147"/>
  <c r="AE147"/>
  <c r="AD147"/>
  <c r="AC147"/>
  <c r="AA147"/>
  <c r="Z147"/>
  <c r="Y147"/>
  <c r="W147"/>
  <c r="V147"/>
  <c r="U147"/>
  <c r="S147"/>
  <c r="R147"/>
  <c r="Q147"/>
  <c r="O147"/>
  <c r="N147"/>
  <c r="M147"/>
  <c r="K147"/>
  <c r="J147"/>
  <c r="I147"/>
  <c r="G147"/>
  <c r="F147"/>
  <c r="E147"/>
  <c r="B152" i="23"/>
  <c r="B151"/>
  <c r="B150"/>
  <c r="Z149"/>
  <c r="Y149"/>
  <c r="X149"/>
  <c r="X147" s="1"/>
  <c r="W149"/>
  <c r="W147" s="1"/>
  <c r="V149"/>
  <c r="U149"/>
  <c r="U147" s="1"/>
  <c r="T149"/>
  <c r="T147" s="1"/>
  <c r="S149"/>
  <c r="S147" s="1"/>
  <c r="R149"/>
  <c r="Q149"/>
  <c r="P149"/>
  <c r="P147" s="1"/>
  <c r="O149"/>
  <c r="O147" s="1"/>
  <c r="N149"/>
  <c r="M149"/>
  <c r="M147" s="1"/>
  <c r="L149"/>
  <c r="L147" s="1"/>
  <c r="K149"/>
  <c r="K147" s="1"/>
  <c r="J149"/>
  <c r="I149"/>
  <c r="I147" s="1"/>
  <c r="H149"/>
  <c r="H147" s="1"/>
  <c r="G149"/>
  <c r="G147" s="1"/>
  <c r="F149"/>
  <c r="E149"/>
  <c r="E147" s="1"/>
  <c r="D149"/>
  <c r="D147" s="1"/>
  <c r="C149"/>
  <c r="C147" s="1"/>
  <c r="B148"/>
  <c r="Z147"/>
  <c r="Y147"/>
  <c r="V147"/>
  <c r="R147"/>
  <c r="Q147"/>
  <c r="N147"/>
  <c r="J147"/>
  <c r="F147"/>
  <c r="T152" i="26"/>
  <c r="C152"/>
  <c r="T151"/>
  <c r="C151"/>
  <c r="AB150"/>
  <c r="AB148" s="1"/>
  <c r="AA150"/>
  <c r="AA148" s="1"/>
  <c r="Z150"/>
  <c r="Z148" s="1"/>
  <c r="Y150"/>
  <c r="Y148" s="1"/>
  <c r="X150"/>
  <c r="X148" s="1"/>
  <c r="W150"/>
  <c r="V150"/>
  <c r="V148" s="1"/>
  <c r="U150"/>
  <c r="U148" s="1"/>
  <c r="S150"/>
  <c r="S148" s="1"/>
  <c r="R150"/>
  <c r="R148" s="1"/>
  <c r="Q150"/>
  <c r="Q148" s="1"/>
  <c r="P150"/>
  <c r="P148" s="1"/>
  <c r="O150"/>
  <c r="O148" s="1"/>
  <c r="N150"/>
  <c r="N148" s="1"/>
  <c r="M150"/>
  <c r="M148" s="1"/>
  <c r="L150"/>
  <c r="L148" s="1"/>
  <c r="K150"/>
  <c r="K148" s="1"/>
  <c r="J150"/>
  <c r="J148" s="1"/>
  <c r="I150"/>
  <c r="I148" s="1"/>
  <c r="H150"/>
  <c r="G150"/>
  <c r="F150"/>
  <c r="F148" s="1"/>
  <c r="E150"/>
  <c r="E148" s="1"/>
  <c r="D150"/>
  <c r="D148" s="1"/>
  <c r="T149"/>
  <c r="B149" s="1"/>
  <c r="C149"/>
  <c r="W148"/>
  <c r="H148"/>
  <c r="G148"/>
  <c r="B146" i="24"/>
  <c r="B146" i="27" s="1"/>
  <c r="B145" i="24"/>
  <c r="B145" i="27" s="1"/>
  <c r="B144" i="24"/>
  <c r="B144" i="27" s="1"/>
  <c r="W143" i="24"/>
  <c r="W141" s="1"/>
  <c r="V143"/>
  <c r="V141" s="1"/>
  <c r="U143"/>
  <c r="U141" s="1"/>
  <c r="T143"/>
  <c r="S143"/>
  <c r="S141" s="1"/>
  <c r="R143"/>
  <c r="R141" s="1"/>
  <c r="Q143"/>
  <c r="Q141" s="1"/>
  <c r="P143"/>
  <c r="O143"/>
  <c r="O141" s="1"/>
  <c r="N143"/>
  <c r="N141" s="1"/>
  <c r="M143"/>
  <c r="M141" s="1"/>
  <c r="L143"/>
  <c r="K143"/>
  <c r="K141" s="1"/>
  <c r="J143"/>
  <c r="J141" s="1"/>
  <c r="I143"/>
  <c r="I141" s="1"/>
  <c r="H143"/>
  <c r="G143"/>
  <c r="G141" s="1"/>
  <c r="F143"/>
  <c r="F141" s="1"/>
  <c r="E143"/>
  <c r="E141" s="1"/>
  <c r="D143"/>
  <c r="C143"/>
  <c r="C141" s="1"/>
  <c r="B142"/>
  <c r="T141"/>
  <c r="P141"/>
  <c r="L141"/>
  <c r="H141"/>
  <c r="D141"/>
  <c r="C146" i="27"/>
  <c r="C145"/>
  <c r="C144"/>
  <c r="AL143"/>
  <c r="AK143"/>
  <c r="AJ143"/>
  <c r="AI143"/>
  <c r="AI141" s="1"/>
  <c r="AH143"/>
  <c r="AG143"/>
  <c r="AF143"/>
  <c r="AE143"/>
  <c r="AE141" s="1"/>
  <c r="AD143"/>
  <c r="AC143"/>
  <c r="AB143"/>
  <c r="AA143"/>
  <c r="AA141" s="1"/>
  <c r="Z143"/>
  <c r="Y143"/>
  <c r="X143"/>
  <c r="W143"/>
  <c r="W141" s="1"/>
  <c r="V143"/>
  <c r="U143"/>
  <c r="T143"/>
  <c r="S143"/>
  <c r="S141" s="1"/>
  <c r="R143"/>
  <c r="Q143"/>
  <c r="P143"/>
  <c r="O143"/>
  <c r="O141" s="1"/>
  <c r="N143"/>
  <c r="M143"/>
  <c r="L143"/>
  <c r="K143"/>
  <c r="K141" s="1"/>
  <c r="J143"/>
  <c r="I143"/>
  <c r="H143"/>
  <c r="G143"/>
  <c r="G141" s="1"/>
  <c r="F143"/>
  <c r="E143"/>
  <c r="D143"/>
  <c r="C143"/>
  <c r="C142"/>
  <c r="AL141"/>
  <c r="AK141"/>
  <c r="AJ141"/>
  <c r="AH141"/>
  <c r="AG141"/>
  <c r="AF141"/>
  <c r="AD141"/>
  <c r="AC141"/>
  <c r="AB141"/>
  <c r="Z141"/>
  <c r="Y141"/>
  <c r="X141"/>
  <c r="V141"/>
  <c r="U141"/>
  <c r="T141"/>
  <c r="R141"/>
  <c r="Q141"/>
  <c r="P141"/>
  <c r="N141"/>
  <c r="M141"/>
  <c r="L141"/>
  <c r="J141"/>
  <c r="I141"/>
  <c r="H141"/>
  <c r="F141"/>
  <c r="E141"/>
  <c r="D141"/>
  <c r="B146" i="23"/>
  <c r="B145"/>
  <c r="B144"/>
  <c r="Z143"/>
  <c r="Y143"/>
  <c r="Y141" s="1"/>
  <c r="X143"/>
  <c r="X141" s="1"/>
  <c r="W143"/>
  <c r="W141" s="1"/>
  <c r="V143"/>
  <c r="U143"/>
  <c r="U141" s="1"/>
  <c r="T143"/>
  <c r="T141" s="1"/>
  <c r="S143"/>
  <c r="S141" s="1"/>
  <c r="R143"/>
  <c r="Q143"/>
  <c r="Q141" s="1"/>
  <c r="P143"/>
  <c r="P141" s="1"/>
  <c r="O143"/>
  <c r="O141" s="1"/>
  <c r="N143"/>
  <c r="M143"/>
  <c r="M141" s="1"/>
  <c r="L143"/>
  <c r="L141" s="1"/>
  <c r="K143"/>
  <c r="K141" s="1"/>
  <c r="J143"/>
  <c r="I143"/>
  <c r="I141" s="1"/>
  <c r="H143"/>
  <c r="H141" s="1"/>
  <c r="G143"/>
  <c r="G141" s="1"/>
  <c r="F143"/>
  <c r="E143"/>
  <c r="E141" s="1"/>
  <c r="D143"/>
  <c r="D141" s="1"/>
  <c r="C143"/>
  <c r="C141" s="1"/>
  <c r="B142"/>
  <c r="Z141"/>
  <c r="V141"/>
  <c r="R141"/>
  <c r="N141"/>
  <c r="J141"/>
  <c r="F141"/>
  <c r="T147" i="26"/>
  <c r="C147"/>
  <c r="T146"/>
  <c r="C146"/>
  <c r="B146"/>
  <c r="T145"/>
  <c r="C145"/>
  <c r="AB144"/>
  <c r="AA144"/>
  <c r="AA142" s="1"/>
  <c r="Z144"/>
  <c r="Z142" s="1"/>
  <c r="Y144"/>
  <c r="X144"/>
  <c r="W144"/>
  <c r="W142" s="1"/>
  <c r="V144"/>
  <c r="V142" s="1"/>
  <c r="U144"/>
  <c r="U142" s="1"/>
  <c r="S144"/>
  <c r="S142" s="1"/>
  <c r="R144"/>
  <c r="R142" s="1"/>
  <c r="Q144"/>
  <c r="Q142" s="1"/>
  <c r="P144"/>
  <c r="O144"/>
  <c r="O142" s="1"/>
  <c r="N144"/>
  <c r="N142" s="1"/>
  <c r="M144"/>
  <c r="M142" s="1"/>
  <c r="L144"/>
  <c r="L142" s="1"/>
  <c r="K144"/>
  <c r="K142" s="1"/>
  <c r="J144"/>
  <c r="J142" s="1"/>
  <c r="I144"/>
  <c r="I142" s="1"/>
  <c r="H144"/>
  <c r="H142" s="1"/>
  <c r="G144"/>
  <c r="G142" s="1"/>
  <c r="F144"/>
  <c r="F142" s="1"/>
  <c r="E144"/>
  <c r="E142" s="1"/>
  <c r="D144"/>
  <c r="D142" s="1"/>
  <c r="T143"/>
  <c r="AB142"/>
  <c r="Y142"/>
  <c r="X142"/>
  <c r="P142"/>
  <c r="B140" i="23"/>
  <c r="B139"/>
  <c r="B138"/>
  <c r="B137"/>
  <c r="B136"/>
  <c r="B135"/>
  <c r="B134"/>
  <c r="B133"/>
  <c r="Z132"/>
  <c r="Y132"/>
  <c r="Y130" s="1"/>
  <c r="X132"/>
  <c r="X130" s="1"/>
  <c r="W132"/>
  <c r="W130" s="1"/>
  <c r="V132"/>
  <c r="V130" s="1"/>
  <c r="U132"/>
  <c r="U130" s="1"/>
  <c r="T132"/>
  <c r="T130" s="1"/>
  <c r="R132"/>
  <c r="R130" s="1"/>
  <c r="Q132"/>
  <c r="Q130" s="1"/>
  <c r="P132"/>
  <c r="P130" s="1"/>
  <c r="O132"/>
  <c r="O130" s="1"/>
  <c r="N132"/>
  <c r="N130" s="1"/>
  <c r="M132"/>
  <c r="M130" s="1"/>
  <c r="L132"/>
  <c r="L130" s="1"/>
  <c r="K132"/>
  <c r="K130" s="1"/>
  <c r="J132"/>
  <c r="J130" s="1"/>
  <c r="I132"/>
  <c r="I130" s="1"/>
  <c r="H132"/>
  <c r="H130" s="1"/>
  <c r="G132"/>
  <c r="G130" s="1"/>
  <c r="F132"/>
  <c r="F130" s="1"/>
  <c r="E132"/>
  <c r="E130" s="1"/>
  <c r="D132"/>
  <c r="D130" s="1"/>
  <c r="C132"/>
  <c r="C130" s="1"/>
  <c r="B131"/>
  <c r="Z130"/>
  <c r="T141" i="26"/>
  <c r="B141" s="1"/>
  <c r="T140"/>
  <c r="B140" s="1"/>
  <c r="T139"/>
  <c r="B139" s="1"/>
  <c r="T138"/>
  <c r="B138" s="1"/>
  <c r="T137"/>
  <c r="B137" s="1"/>
  <c r="T136"/>
  <c r="B136" s="1"/>
  <c r="T135"/>
  <c r="T134"/>
  <c r="B134" s="1"/>
  <c r="AC133"/>
  <c r="AB133"/>
  <c r="AB131" s="1"/>
  <c r="AA133"/>
  <c r="AA131" s="1"/>
  <c r="Z133"/>
  <c r="Z131" s="1"/>
  <c r="Y133"/>
  <c r="Y131" s="1"/>
  <c r="X133"/>
  <c r="X131" s="1"/>
  <c r="W133"/>
  <c r="W131" s="1"/>
  <c r="V133"/>
  <c r="V131" s="1"/>
  <c r="U133"/>
  <c r="U131" s="1"/>
  <c r="S133"/>
  <c r="S131" s="1"/>
  <c r="R133"/>
  <c r="R131" s="1"/>
  <c r="Q133"/>
  <c r="Q131" s="1"/>
  <c r="P133"/>
  <c r="P131" s="1"/>
  <c r="O133"/>
  <c r="O131" s="1"/>
  <c r="N133"/>
  <c r="N131" s="1"/>
  <c r="M133"/>
  <c r="M131" s="1"/>
  <c r="L133"/>
  <c r="K133"/>
  <c r="K131" s="1"/>
  <c r="J133"/>
  <c r="J131" s="1"/>
  <c r="I133"/>
  <c r="I131" s="1"/>
  <c r="H133"/>
  <c r="H131" s="1"/>
  <c r="G133"/>
  <c r="G131" s="1"/>
  <c r="F133"/>
  <c r="F131" s="1"/>
  <c r="E133"/>
  <c r="E131" s="1"/>
  <c r="D133"/>
  <c r="D131" s="1"/>
  <c r="C133"/>
  <c r="C131" s="1"/>
  <c r="T132"/>
  <c r="L131"/>
  <c r="B129" i="24"/>
  <c r="B129" i="27" s="1"/>
  <c r="B128" i="24"/>
  <c r="B128" i="27" s="1"/>
  <c r="B127" i="24"/>
  <c r="B127" i="27" s="1"/>
  <c r="B126" i="24"/>
  <c r="B126" i="27" s="1"/>
  <c r="B125" i="24"/>
  <c r="B125" i="27" s="1"/>
  <c r="B124" i="24"/>
  <c r="B124" i="27" s="1"/>
  <c r="B123" i="24"/>
  <c r="B123" i="27" s="1"/>
  <c r="B122" i="24"/>
  <c r="B122" i="27" s="1"/>
  <c r="B121" i="24"/>
  <c r="B121" i="27" s="1"/>
  <c r="B120" i="24"/>
  <c r="B120" i="27" s="1"/>
  <c r="B119" i="24"/>
  <c r="B119" i="27" s="1"/>
  <c r="B118" i="24"/>
  <c r="B118" i="27" s="1"/>
  <c r="W117" i="24"/>
  <c r="W115" s="1"/>
  <c r="V117"/>
  <c r="V115" s="1"/>
  <c r="U117"/>
  <c r="T117"/>
  <c r="T115" s="1"/>
  <c r="S117"/>
  <c r="S115" s="1"/>
  <c r="R117"/>
  <c r="R115" s="1"/>
  <c r="Q117"/>
  <c r="P117"/>
  <c r="P115" s="1"/>
  <c r="O117"/>
  <c r="O115" s="1"/>
  <c r="N117"/>
  <c r="N115" s="1"/>
  <c r="M117"/>
  <c r="L117"/>
  <c r="L115" s="1"/>
  <c r="K117"/>
  <c r="K115" s="1"/>
  <c r="J117"/>
  <c r="J115" s="1"/>
  <c r="I117"/>
  <c r="H117"/>
  <c r="H115" s="1"/>
  <c r="G117"/>
  <c r="G115" s="1"/>
  <c r="F117"/>
  <c r="F115" s="1"/>
  <c r="E117"/>
  <c r="D117"/>
  <c r="D115" s="1"/>
  <c r="C117"/>
  <c r="C115" s="1"/>
  <c r="B116"/>
  <c r="B116" i="27" s="1"/>
  <c r="U115" i="24"/>
  <c r="Q115"/>
  <c r="M115"/>
  <c r="I115"/>
  <c r="E115"/>
  <c r="B129" i="23"/>
  <c r="B128"/>
  <c r="B127"/>
  <c r="B126"/>
  <c r="B125"/>
  <c r="B124"/>
  <c r="B123"/>
  <c r="B122"/>
  <c r="B121"/>
  <c r="B120"/>
  <c r="B119"/>
  <c r="B118"/>
  <c r="Z117"/>
  <c r="Z115" s="1"/>
  <c r="Y117"/>
  <c r="Y115" s="1"/>
  <c r="X117"/>
  <c r="X115" s="1"/>
  <c r="W117"/>
  <c r="W115" s="1"/>
  <c r="V117"/>
  <c r="V115" s="1"/>
  <c r="U117"/>
  <c r="U115" s="1"/>
  <c r="T117"/>
  <c r="T115" s="1"/>
  <c r="S117"/>
  <c r="S115" s="1"/>
  <c r="R117"/>
  <c r="R115" s="1"/>
  <c r="Q117"/>
  <c r="Q115" s="1"/>
  <c r="P117"/>
  <c r="P115" s="1"/>
  <c r="O117"/>
  <c r="N117"/>
  <c r="N115" s="1"/>
  <c r="M117"/>
  <c r="M115" s="1"/>
  <c r="L117"/>
  <c r="L115" s="1"/>
  <c r="K117"/>
  <c r="K115" s="1"/>
  <c r="J117"/>
  <c r="J115" s="1"/>
  <c r="I117"/>
  <c r="I115" s="1"/>
  <c r="H117"/>
  <c r="H115" s="1"/>
  <c r="G117"/>
  <c r="G115" s="1"/>
  <c r="F117"/>
  <c r="F115" s="1"/>
  <c r="E117"/>
  <c r="E115" s="1"/>
  <c r="D117"/>
  <c r="D115" s="1"/>
  <c r="C117"/>
  <c r="C115" s="1"/>
  <c r="B116"/>
  <c r="O115"/>
  <c r="T130" i="26"/>
  <c r="C130"/>
  <c r="T129"/>
  <c r="C129"/>
  <c r="B129" s="1"/>
  <c r="T128"/>
  <c r="C128"/>
  <c r="T127"/>
  <c r="C127"/>
  <c r="T126"/>
  <c r="C126"/>
  <c r="T125"/>
  <c r="C125"/>
  <c r="T124"/>
  <c r="C124"/>
  <c r="T123"/>
  <c r="C123"/>
  <c r="T122"/>
  <c r="C122"/>
  <c r="T121"/>
  <c r="C121"/>
  <c r="T120"/>
  <c r="C120"/>
  <c r="T119"/>
  <c r="C119"/>
  <c r="AB118"/>
  <c r="AB116" s="1"/>
  <c r="AA118"/>
  <c r="AA116" s="1"/>
  <c r="Z118"/>
  <c r="Y118"/>
  <c r="Y116" s="1"/>
  <c r="X118"/>
  <c r="X116" s="1"/>
  <c r="W118"/>
  <c r="W116" s="1"/>
  <c r="V118"/>
  <c r="V116" s="1"/>
  <c r="U118"/>
  <c r="U116" s="1"/>
  <c r="S118"/>
  <c r="S116" s="1"/>
  <c r="R118"/>
  <c r="Q118"/>
  <c r="P118"/>
  <c r="P116" s="1"/>
  <c r="O118"/>
  <c r="O116" s="1"/>
  <c r="N118"/>
  <c r="N116" s="1"/>
  <c r="M118"/>
  <c r="M116" s="1"/>
  <c r="L118"/>
  <c r="L116" s="1"/>
  <c r="K118"/>
  <c r="K116" s="1"/>
  <c r="J118"/>
  <c r="J116" s="1"/>
  <c r="I118"/>
  <c r="H118"/>
  <c r="H116" s="1"/>
  <c r="G118"/>
  <c r="G116" s="1"/>
  <c r="F118"/>
  <c r="F116" s="1"/>
  <c r="E118"/>
  <c r="E116" s="1"/>
  <c r="D118"/>
  <c r="D116" s="1"/>
  <c r="Z116"/>
  <c r="R116"/>
  <c r="Q116"/>
  <c r="I116"/>
  <c r="N114" i="24"/>
  <c r="M114"/>
  <c r="G114"/>
  <c r="W113"/>
  <c r="B113" s="1"/>
  <c r="B113" i="27" s="1"/>
  <c r="N113" i="24"/>
  <c r="I113"/>
  <c r="W112"/>
  <c r="V112"/>
  <c r="T112"/>
  <c r="N112"/>
  <c r="B112" s="1"/>
  <c r="B112" i="27" s="1"/>
  <c r="N111" i="24"/>
  <c r="L111"/>
  <c r="K111"/>
  <c r="B111" s="1"/>
  <c r="B111" i="27" s="1"/>
  <c r="V110" i="24"/>
  <c r="U110"/>
  <c r="T110"/>
  <c r="T108" s="1"/>
  <c r="S110"/>
  <c r="R110"/>
  <c r="R108" s="1"/>
  <c r="Q110"/>
  <c r="P110"/>
  <c r="P108" s="1"/>
  <c r="O110"/>
  <c r="O108" s="1"/>
  <c r="M110"/>
  <c r="M108" s="1"/>
  <c r="L110"/>
  <c r="L108" s="1"/>
  <c r="K110"/>
  <c r="K108" s="1"/>
  <c r="J110"/>
  <c r="I110"/>
  <c r="I108" s="1"/>
  <c r="H110"/>
  <c r="H108" s="1"/>
  <c r="G110"/>
  <c r="F110"/>
  <c r="E110"/>
  <c r="D110"/>
  <c r="D108" s="1"/>
  <c r="C110"/>
  <c r="C108" s="1"/>
  <c r="B109"/>
  <c r="B109" i="27" s="1"/>
  <c r="V108" i="24"/>
  <c r="U108"/>
  <c r="S108"/>
  <c r="Q108"/>
  <c r="J108"/>
  <c r="G108"/>
  <c r="F108"/>
  <c r="E108"/>
  <c r="Y114" i="27"/>
  <c r="T114"/>
  <c r="T110" s="1"/>
  <c r="N114"/>
  <c r="N110" s="1"/>
  <c r="L114"/>
  <c r="K114"/>
  <c r="G114"/>
  <c r="G110" s="1"/>
  <c r="AC113"/>
  <c r="X113"/>
  <c r="X110" s="1"/>
  <c r="Q113"/>
  <c r="L113"/>
  <c r="F113"/>
  <c r="C113"/>
  <c r="AL112"/>
  <c r="AL110" s="1"/>
  <c r="AJ112"/>
  <c r="AH112"/>
  <c r="AH110" s="1"/>
  <c r="AE112"/>
  <c r="AE110" s="1"/>
  <c r="Z112"/>
  <c r="Z110" s="1"/>
  <c r="W112"/>
  <c r="U112"/>
  <c r="L112"/>
  <c r="D112"/>
  <c r="C112" s="1"/>
  <c r="AD111"/>
  <c r="AD110" s="1"/>
  <c r="AB111"/>
  <c r="U111"/>
  <c r="P111"/>
  <c r="P110" s="1"/>
  <c r="O111"/>
  <c r="O110" s="1"/>
  <c r="L111"/>
  <c r="J111"/>
  <c r="E111"/>
  <c r="C111" s="1"/>
  <c r="AK110"/>
  <c r="AJ110"/>
  <c r="AI110"/>
  <c r="AG110"/>
  <c r="AF110"/>
  <c r="AC110"/>
  <c r="AB110"/>
  <c r="AA110"/>
  <c r="Y110"/>
  <c r="W110"/>
  <c r="V110"/>
  <c r="U110"/>
  <c r="S110"/>
  <c r="R110"/>
  <c r="Q110"/>
  <c r="M110"/>
  <c r="L110"/>
  <c r="K110"/>
  <c r="J110"/>
  <c r="I110"/>
  <c r="H110"/>
  <c r="F110"/>
  <c r="E110"/>
  <c r="D110"/>
  <c r="L109"/>
  <c r="C109" s="1"/>
  <c r="X108"/>
  <c r="C108"/>
  <c r="G114" i="23"/>
  <c r="F114"/>
  <c r="C114"/>
  <c r="X113"/>
  <c r="U113"/>
  <c r="U110" s="1"/>
  <c r="U108" s="1"/>
  <c r="O113"/>
  <c r="O110" s="1"/>
  <c r="O108" s="1"/>
  <c r="J113"/>
  <c r="J110" s="1"/>
  <c r="F113"/>
  <c r="C113"/>
  <c r="Z112"/>
  <c r="W112"/>
  <c r="W110" s="1"/>
  <c r="W108" s="1"/>
  <c r="V112"/>
  <c r="V110" s="1"/>
  <c r="V108" s="1"/>
  <c r="P112"/>
  <c r="P110" s="1"/>
  <c r="P108" s="1"/>
  <c r="M112"/>
  <c r="M110" s="1"/>
  <c r="M108" s="1"/>
  <c r="L112"/>
  <c r="L110" s="1"/>
  <c r="L108" s="1"/>
  <c r="K112"/>
  <c r="K110" s="1"/>
  <c r="K108" s="1"/>
  <c r="G112"/>
  <c r="G110" s="1"/>
  <c r="G108" s="1"/>
  <c r="F112"/>
  <c r="E112"/>
  <c r="E110" s="1"/>
  <c r="E108" s="1"/>
  <c r="C112"/>
  <c r="T111"/>
  <c r="T110" s="1"/>
  <c r="T108" s="1"/>
  <c r="N111"/>
  <c r="I111"/>
  <c r="I110" s="1"/>
  <c r="I108" s="1"/>
  <c r="F111"/>
  <c r="C111"/>
  <c r="Z110"/>
  <c r="Z108" s="1"/>
  <c r="Y110"/>
  <c r="Y108" s="1"/>
  <c r="X110"/>
  <c r="X108" s="1"/>
  <c r="S110"/>
  <c r="R110"/>
  <c r="R108" s="1"/>
  <c r="Q110"/>
  <c r="Q108" s="1"/>
  <c r="N110"/>
  <c r="N108" s="1"/>
  <c r="H110"/>
  <c r="D110"/>
  <c r="D108" s="1"/>
  <c r="J109"/>
  <c r="H109"/>
  <c r="S108"/>
  <c r="Y115" i="26"/>
  <c r="W115"/>
  <c r="C115"/>
  <c r="W114"/>
  <c r="V114"/>
  <c r="O114"/>
  <c r="I114"/>
  <c r="I111" s="1"/>
  <c r="I109" s="1"/>
  <c r="H114"/>
  <c r="D114"/>
  <c r="Y113"/>
  <c r="W113"/>
  <c r="V113"/>
  <c r="O113"/>
  <c r="H113"/>
  <c r="G113"/>
  <c r="E113"/>
  <c r="D113"/>
  <c r="W112"/>
  <c r="V112"/>
  <c r="U112"/>
  <c r="U111" s="1"/>
  <c r="P112"/>
  <c r="P111" s="1"/>
  <c r="P109" s="1"/>
  <c r="N112"/>
  <c r="N111" s="1"/>
  <c r="N109" s="1"/>
  <c r="M112"/>
  <c r="M111" s="1"/>
  <c r="M109" s="1"/>
  <c r="L112"/>
  <c r="L111" s="1"/>
  <c r="L109" s="1"/>
  <c r="K112"/>
  <c r="K111" s="1"/>
  <c r="K109" s="1"/>
  <c r="H112"/>
  <c r="G112"/>
  <c r="G111" s="1"/>
  <c r="G109" s="1"/>
  <c r="E112"/>
  <c r="D112"/>
  <c r="D111" s="1"/>
  <c r="D109" s="1"/>
  <c r="AB111"/>
  <c r="AB109" s="1"/>
  <c r="AA111"/>
  <c r="AA109" s="1"/>
  <c r="Z111"/>
  <c r="Z109" s="1"/>
  <c r="X111"/>
  <c r="S111"/>
  <c r="S109" s="1"/>
  <c r="R111"/>
  <c r="R109" s="1"/>
  <c r="Q111"/>
  <c r="Q109" s="1"/>
  <c r="J111"/>
  <c r="J109" s="1"/>
  <c r="F111"/>
  <c r="F109" s="1"/>
  <c r="T110"/>
  <c r="B110" s="1"/>
  <c r="X109"/>
  <c r="B142" i="27" l="1"/>
  <c r="W110" i="24"/>
  <c r="W108" s="1"/>
  <c r="B149"/>
  <c r="B149" i="27" s="1"/>
  <c r="B148"/>
  <c r="B114" i="24"/>
  <c r="B114" i="27" s="1"/>
  <c r="B143" i="24"/>
  <c r="B143" i="27" s="1"/>
  <c r="O111" i="26"/>
  <c r="O109" s="1"/>
  <c r="B121"/>
  <c r="B125"/>
  <c r="B127"/>
  <c r="B124"/>
  <c r="B128"/>
  <c r="C113"/>
  <c r="B113" s="1"/>
  <c r="T144"/>
  <c r="T113"/>
  <c r="H111"/>
  <c r="H109" s="1"/>
  <c r="Y111"/>
  <c r="Y109" s="1"/>
  <c r="T115"/>
  <c r="B115" s="1"/>
  <c r="F110" i="23"/>
  <c r="F108" s="1"/>
  <c r="H108"/>
  <c r="B149"/>
  <c r="B147" s="1"/>
  <c r="B143"/>
  <c r="B141" s="1"/>
  <c r="B114"/>
  <c r="J108"/>
  <c r="B109"/>
  <c r="B112"/>
  <c r="B111"/>
  <c r="B113"/>
  <c r="B117"/>
  <c r="B115" s="1"/>
  <c r="B147" i="26"/>
  <c r="B119"/>
  <c r="B126"/>
  <c r="B145"/>
  <c r="T150"/>
  <c r="T148" s="1"/>
  <c r="W111"/>
  <c r="W109" s="1"/>
  <c r="T118"/>
  <c r="T116" s="1"/>
  <c r="B123"/>
  <c r="B130"/>
  <c r="B152"/>
  <c r="T112"/>
  <c r="E111"/>
  <c r="E109" s="1"/>
  <c r="C114"/>
  <c r="T114"/>
  <c r="C118"/>
  <c r="B118" s="1"/>
  <c r="B120"/>
  <c r="B122"/>
  <c r="T133"/>
  <c r="B133" s="1"/>
  <c r="C150"/>
  <c r="C148" s="1"/>
  <c r="C149" i="27"/>
  <c r="B151" i="26"/>
  <c r="B150" s="1"/>
  <c r="B148" s="1"/>
  <c r="C141" i="27"/>
  <c r="B144" i="26"/>
  <c r="B142" s="1"/>
  <c r="T142"/>
  <c r="C144"/>
  <c r="C142" s="1"/>
  <c r="B130" i="23"/>
  <c r="B132"/>
  <c r="B135" i="26"/>
  <c r="B132"/>
  <c r="B117" i="24"/>
  <c r="C116" i="26"/>
  <c r="B116" s="1"/>
  <c r="B110" i="24"/>
  <c r="N110"/>
  <c r="N108" s="1"/>
  <c r="C110" i="27"/>
  <c r="C114"/>
  <c r="C110" i="23"/>
  <c r="C108" s="1"/>
  <c r="V111" i="26"/>
  <c r="V109" s="1"/>
  <c r="C112"/>
  <c r="U109"/>
  <c r="B108" i="24" l="1"/>
  <c r="B108" i="27" s="1"/>
  <c r="B110"/>
  <c r="B115" i="24"/>
  <c r="B115" i="27" s="1"/>
  <c r="B117"/>
  <c r="B147" i="24"/>
  <c r="B147" i="27" s="1"/>
  <c r="B141" i="24"/>
  <c r="B141" i="27" s="1"/>
  <c r="B110" i="23"/>
  <c r="B108" s="1"/>
  <c r="T131" i="26"/>
  <c r="B131" s="1"/>
  <c r="B114"/>
  <c r="C147" i="27"/>
  <c r="B112" i="26"/>
  <c r="C111"/>
  <c r="C109" s="1"/>
  <c r="T111"/>
  <c r="T109" s="1"/>
  <c r="B107" i="24"/>
  <c r="B107" i="27" s="1"/>
  <c r="B106" i="24"/>
  <c r="B106" i="27" s="1"/>
  <c r="B105" i="24"/>
  <c r="B105" i="27" s="1"/>
  <c r="B104" i="24"/>
  <c r="B104" i="27" s="1"/>
  <c r="B103" i="24"/>
  <c r="B103" i="27" s="1"/>
  <c r="B102" i="24"/>
  <c r="B102" i="27" s="1"/>
  <c r="B101" i="24"/>
  <c r="B101" i="27" s="1"/>
  <c r="B100" i="24"/>
  <c r="B100" i="27" s="1"/>
  <c r="B99" i="24"/>
  <c r="B99" i="27" s="1"/>
  <c r="W97" i="24"/>
  <c r="W95" s="1"/>
  <c r="V97"/>
  <c r="U97"/>
  <c r="T97"/>
  <c r="T95" s="1"/>
  <c r="S97"/>
  <c r="S95" s="1"/>
  <c r="R97"/>
  <c r="Q97"/>
  <c r="P97"/>
  <c r="O97"/>
  <c r="O95" s="1"/>
  <c r="N97"/>
  <c r="M97"/>
  <c r="L97"/>
  <c r="L95" s="1"/>
  <c r="K97"/>
  <c r="K95" s="1"/>
  <c r="J97"/>
  <c r="I97"/>
  <c r="H97"/>
  <c r="H95" s="1"/>
  <c r="G97"/>
  <c r="G95" s="1"/>
  <c r="F97"/>
  <c r="E97"/>
  <c r="D97"/>
  <c r="D95" s="1"/>
  <c r="C97"/>
  <c r="C95" s="1"/>
  <c r="B96"/>
  <c r="B96" i="27" s="1"/>
  <c r="V95" i="24"/>
  <c r="U95"/>
  <c r="R95"/>
  <c r="Q95"/>
  <c r="P95"/>
  <c r="N95"/>
  <c r="M95"/>
  <c r="J95"/>
  <c r="I95"/>
  <c r="F95"/>
  <c r="E95"/>
  <c r="B107" i="23"/>
  <c r="B106"/>
  <c r="B105"/>
  <c r="B104"/>
  <c r="B103"/>
  <c r="B102"/>
  <c r="B101"/>
  <c r="B100"/>
  <c r="B99"/>
  <c r="B98"/>
  <c r="Z97"/>
  <c r="Z95" s="1"/>
  <c r="Y97"/>
  <c r="X97"/>
  <c r="W97"/>
  <c r="W95" s="1"/>
  <c r="V97"/>
  <c r="V95" s="1"/>
  <c r="U97"/>
  <c r="T97"/>
  <c r="T95" s="1"/>
  <c r="S97"/>
  <c r="S95" s="1"/>
  <c r="R97"/>
  <c r="R95" s="1"/>
  <c r="Q97"/>
  <c r="Q95" s="1"/>
  <c r="P97"/>
  <c r="P95" s="1"/>
  <c r="O97"/>
  <c r="O95" s="1"/>
  <c r="N97"/>
  <c r="N95" s="1"/>
  <c r="M97"/>
  <c r="L97"/>
  <c r="L95" s="1"/>
  <c r="K97"/>
  <c r="K95" s="1"/>
  <c r="J97"/>
  <c r="J95" s="1"/>
  <c r="I97"/>
  <c r="H97"/>
  <c r="H95" s="1"/>
  <c r="G97"/>
  <c r="G95" s="1"/>
  <c r="F97"/>
  <c r="F95" s="1"/>
  <c r="E97"/>
  <c r="E95" s="1"/>
  <c r="D97"/>
  <c r="D95" s="1"/>
  <c r="C97"/>
  <c r="C95" s="1"/>
  <c r="B96"/>
  <c r="Y95"/>
  <c r="X95"/>
  <c r="U95"/>
  <c r="M95"/>
  <c r="I95"/>
  <c r="T108" i="26"/>
  <c r="C108"/>
  <c r="T107"/>
  <c r="C107"/>
  <c r="T106"/>
  <c r="C106"/>
  <c r="T105"/>
  <c r="C105"/>
  <c r="T104"/>
  <c r="C104"/>
  <c r="T103"/>
  <c r="C103"/>
  <c r="T102"/>
  <c r="C102"/>
  <c r="T101"/>
  <c r="C101"/>
  <c r="T100"/>
  <c r="C100"/>
  <c r="T99"/>
  <c r="C99"/>
  <c r="AB98"/>
  <c r="AB96" s="1"/>
  <c r="AA98"/>
  <c r="AA96" s="1"/>
  <c r="Z98"/>
  <c r="Z96" s="1"/>
  <c r="Y98"/>
  <c r="Y96" s="1"/>
  <c r="X98"/>
  <c r="X96" s="1"/>
  <c r="W98"/>
  <c r="W96" s="1"/>
  <c r="V98"/>
  <c r="V96" s="1"/>
  <c r="U98"/>
  <c r="U96" s="1"/>
  <c r="S98"/>
  <c r="S96" s="1"/>
  <c r="R98"/>
  <c r="R96" s="1"/>
  <c r="Q98"/>
  <c r="Q96" s="1"/>
  <c r="P98"/>
  <c r="P96" s="1"/>
  <c r="O98"/>
  <c r="O96" s="1"/>
  <c r="N98"/>
  <c r="N96" s="1"/>
  <c r="M98"/>
  <c r="M96" s="1"/>
  <c r="L98"/>
  <c r="L96" s="1"/>
  <c r="K98"/>
  <c r="K96" s="1"/>
  <c r="J98"/>
  <c r="J96" s="1"/>
  <c r="I98"/>
  <c r="I96" s="1"/>
  <c r="H98"/>
  <c r="H96" s="1"/>
  <c r="G98"/>
  <c r="G96" s="1"/>
  <c r="F98"/>
  <c r="F96" s="1"/>
  <c r="E98"/>
  <c r="D98"/>
  <c r="T97"/>
  <c r="C97"/>
  <c r="D96"/>
  <c r="B94" i="24"/>
  <c r="B94" i="27" s="1"/>
  <c r="B93" i="24"/>
  <c r="B93" i="27" s="1"/>
  <c r="B92" i="24"/>
  <c r="B92" i="27" s="1"/>
  <c r="B91" i="24"/>
  <c r="B91" i="27" s="1"/>
  <c r="B90" i="24"/>
  <c r="B90" i="27" s="1"/>
  <c r="B89" i="24"/>
  <c r="B89" i="27" s="1"/>
  <c r="B88" i="24"/>
  <c r="B88" i="27" s="1"/>
  <c r="B87" i="24"/>
  <c r="B87" i="27" s="1"/>
  <c r="B86" i="24"/>
  <c r="B86" i="27" s="1"/>
  <c r="W85" i="24"/>
  <c r="V85"/>
  <c r="U85"/>
  <c r="U82" s="1"/>
  <c r="T85"/>
  <c r="S85"/>
  <c r="R85"/>
  <c r="Q85"/>
  <c r="Q82" s="1"/>
  <c r="P85"/>
  <c r="O85"/>
  <c r="N85"/>
  <c r="M85"/>
  <c r="M82" s="1"/>
  <c r="L85"/>
  <c r="K85"/>
  <c r="J85"/>
  <c r="I85"/>
  <c r="I82" s="1"/>
  <c r="H85"/>
  <c r="G85"/>
  <c r="F85"/>
  <c r="E85"/>
  <c r="E82" s="1"/>
  <c r="D85"/>
  <c r="C85"/>
  <c r="B84"/>
  <c r="B84" i="27" s="1"/>
  <c r="B83" i="24"/>
  <c r="B83" i="27" s="1"/>
  <c r="W82" i="24"/>
  <c r="V82"/>
  <c r="T82"/>
  <c r="S82"/>
  <c r="R82"/>
  <c r="P82"/>
  <c r="O82"/>
  <c r="N82"/>
  <c r="L82"/>
  <c r="K82"/>
  <c r="J82"/>
  <c r="H82"/>
  <c r="G82"/>
  <c r="F82"/>
  <c r="D82"/>
  <c r="C82"/>
  <c r="C94" i="27"/>
  <c r="C93"/>
  <c r="C92"/>
  <c r="C91"/>
  <c r="C90"/>
  <c r="C89"/>
  <c r="C88"/>
  <c r="C87"/>
  <c r="C86"/>
  <c r="AL85"/>
  <c r="AL82" s="1"/>
  <c r="AK85"/>
  <c r="AK82" s="1"/>
  <c r="AJ85"/>
  <c r="AI85"/>
  <c r="AI82" s="1"/>
  <c r="AH85"/>
  <c r="AH82" s="1"/>
  <c r="AG85"/>
  <c r="AG82" s="1"/>
  <c r="AF85"/>
  <c r="AE85"/>
  <c r="AE82" s="1"/>
  <c r="AD85"/>
  <c r="AD82" s="1"/>
  <c r="AC85"/>
  <c r="AC82" s="1"/>
  <c r="AB85"/>
  <c r="AA85"/>
  <c r="AA82" s="1"/>
  <c r="Z85"/>
  <c r="Z82" s="1"/>
  <c r="Y85"/>
  <c r="Y82" s="1"/>
  <c r="X85"/>
  <c r="W85"/>
  <c r="W82" s="1"/>
  <c r="V85"/>
  <c r="V82" s="1"/>
  <c r="U85"/>
  <c r="U82" s="1"/>
  <c r="T85"/>
  <c r="S85"/>
  <c r="S82" s="1"/>
  <c r="R85"/>
  <c r="R82" s="1"/>
  <c r="Q85"/>
  <c r="Q82" s="1"/>
  <c r="P85"/>
  <c r="O85"/>
  <c r="O82" s="1"/>
  <c r="N85"/>
  <c r="N82" s="1"/>
  <c r="M85"/>
  <c r="M82" s="1"/>
  <c r="L85"/>
  <c r="K85"/>
  <c r="K82" s="1"/>
  <c r="J85"/>
  <c r="J82" s="1"/>
  <c r="I85"/>
  <c r="I82" s="1"/>
  <c r="H85"/>
  <c r="G85"/>
  <c r="G82" s="1"/>
  <c r="F85"/>
  <c r="F82" s="1"/>
  <c r="E85"/>
  <c r="E82" s="1"/>
  <c r="D85"/>
  <c r="C85"/>
  <c r="C84"/>
  <c r="C83"/>
  <c r="C82" s="1"/>
  <c r="AJ82"/>
  <c r="AF82"/>
  <c r="AB82"/>
  <c r="X82"/>
  <c r="T82"/>
  <c r="P82"/>
  <c r="L82"/>
  <c r="H82"/>
  <c r="D82"/>
  <c r="B94" i="23"/>
  <c r="B93"/>
  <c r="B92"/>
  <c r="B91"/>
  <c r="B90"/>
  <c r="B89"/>
  <c r="B88"/>
  <c r="B87"/>
  <c r="B86"/>
  <c r="Z85"/>
  <c r="Z82" s="1"/>
  <c r="Y85"/>
  <c r="Y82" s="1"/>
  <c r="X85"/>
  <c r="X82" s="1"/>
  <c r="W85"/>
  <c r="W82" s="1"/>
  <c r="V85"/>
  <c r="V82" s="1"/>
  <c r="U85"/>
  <c r="U82" s="1"/>
  <c r="T85"/>
  <c r="T82" s="1"/>
  <c r="S85"/>
  <c r="S82" s="1"/>
  <c r="R85"/>
  <c r="R82" s="1"/>
  <c r="Q85"/>
  <c r="Q82" s="1"/>
  <c r="P85"/>
  <c r="P82" s="1"/>
  <c r="O85"/>
  <c r="O82" s="1"/>
  <c r="N85"/>
  <c r="M85"/>
  <c r="L85"/>
  <c r="L82" s="1"/>
  <c r="K85"/>
  <c r="K82" s="1"/>
  <c r="J85"/>
  <c r="J82" s="1"/>
  <c r="I85"/>
  <c r="I82" s="1"/>
  <c r="H85"/>
  <c r="H82" s="1"/>
  <c r="G85"/>
  <c r="G82" s="1"/>
  <c r="F85"/>
  <c r="F82" s="1"/>
  <c r="E85"/>
  <c r="D85"/>
  <c r="D82" s="1"/>
  <c r="C85"/>
  <c r="C82" s="1"/>
  <c r="B84"/>
  <c r="B83"/>
  <c r="N82"/>
  <c r="M82"/>
  <c r="E82"/>
  <c r="T95" i="26"/>
  <c r="C95"/>
  <c r="T94"/>
  <c r="C94"/>
  <c r="T93"/>
  <c r="C93"/>
  <c r="T92"/>
  <c r="C92"/>
  <c r="T91"/>
  <c r="C91"/>
  <c r="T90"/>
  <c r="C90"/>
  <c r="T89"/>
  <c r="C89"/>
  <c r="T88"/>
  <c r="C88"/>
  <c r="T87"/>
  <c r="C87"/>
  <c r="AB86"/>
  <c r="AB83" s="1"/>
  <c r="AA86"/>
  <c r="AA83" s="1"/>
  <c r="Z86"/>
  <c r="Z83" s="1"/>
  <c r="Y86"/>
  <c r="Y83" s="1"/>
  <c r="X86"/>
  <c r="X83" s="1"/>
  <c r="W86"/>
  <c r="W83" s="1"/>
  <c r="V86"/>
  <c r="V83" s="1"/>
  <c r="U86"/>
  <c r="S86"/>
  <c r="S83" s="1"/>
  <c r="R86"/>
  <c r="R83" s="1"/>
  <c r="Q86"/>
  <c r="Q83" s="1"/>
  <c r="P86"/>
  <c r="P83" s="1"/>
  <c r="O86"/>
  <c r="O83" s="1"/>
  <c r="N86"/>
  <c r="N83" s="1"/>
  <c r="M86"/>
  <c r="M83" s="1"/>
  <c r="L86"/>
  <c r="L83" s="1"/>
  <c r="K86"/>
  <c r="J86"/>
  <c r="J83" s="1"/>
  <c r="I86"/>
  <c r="I83" s="1"/>
  <c r="H86"/>
  <c r="H83" s="1"/>
  <c r="G86"/>
  <c r="G83" s="1"/>
  <c r="F86"/>
  <c r="F83" s="1"/>
  <c r="E86"/>
  <c r="E83" s="1"/>
  <c r="D86"/>
  <c r="T85"/>
  <c r="C85"/>
  <c r="T84"/>
  <c r="C84"/>
  <c r="K83"/>
  <c r="B81" i="24"/>
  <c r="B81" i="27" s="1"/>
  <c r="B80" i="24"/>
  <c r="B80" i="27" s="1"/>
  <c r="B79" i="24"/>
  <c r="B79" i="27" s="1"/>
  <c r="B78" i="24"/>
  <c r="B78" i="27" s="1"/>
  <c r="B77" i="24"/>
  <c r="B77" i="27" s="1"/>
  <c r="B76" i="24"/>
  <c r="B76" i="27" s="1"/>
  <c r="B75" i="24"/>
  <c r="B74"/>
  <c r="B74" i="27" s="1"/>
  <c r="B73" i="24"/>
  <c r="B73" i="27" s="1"/>
  <c r="W72" i="24"/>
  <c r="W70" s="1"/>
  <c r="V72"/>
  <c r="V70" s="1"/>
  <c r="U72"/>
  <c r="T72"/>
  <c r="S72"/>
  <c r="S70" s="1"/>
  <c r="R72"/>
  <c r="Q72"/>
  <c r="P72"/>
  <c r="O72"/>
  <c r="O70" s="1"/>
  <c r="N72"/>
  <c r="M72"/>
  <c r="L72"/>
  <c r="K72"/>
  <c r="K70" s="1"/>
  <c r="J72"/>
  <c r="J70" s="1"/>
  <c r="I72"/>
  <c r="H72"/>
  <c r="G72"/>
  <c r="G70" s="1"/>
  <c r="F72"/>
  <c r="F70" s="1"/>
  <c r="E72"/>
  <c r="D72"/>
  <c r="C72"/>
  <c r="C70" s="1"/>
  <c r="B71"/>
  <c r="B71" i="27" s="1"/>
  <c r="U70" i="24"/>
  <c r="T70"/>
  <c r="R70"/>
  <c r="Q70"/>
  <c r="P70"/>
  <c r="N70"/>
  <c r="M70"/>
  <c r="L70"/>
  <c r="I70"/>
  <c r="H70"/>
  <c r="E70"/>
  <c r="D70"/>
  <c r="C81" i="27"/>
  <c r="C80"/>
  <c r="C79"/>
  <c r="C78"/>
  <c r="C77"/>
  <c r="C76"/>
  <c r="C75"/>
  <c r="C74"/>
  <c r="C73"/>
  <c r="AK72"/>
  <c r="AJ72"/>
  <c r="AI72"/>
  <c r="AH72"/>
  <c r="AH70" s="1"/>
  <c r="AG72"/>
  <c r="AF72"/>
  <c r="AE72"/>
  <c r="AD72"/>
  <c r="AD70" s="1"/>
  <c r="AC72"/>
  <c r="AB72"/>
  <c r="AA72"/>
  <c r="Z72"/>
  <c r="Z70" s="1"/>
  <c r="Y72"/>
  <c r="X72"/>
  <c r="W72"/>
  <c r="V72"/>
  <c r="V70" s="1"/>
  <c r="U72"/>
  <c r="T72"/>
  <c r="S72"/>
  <c r="R72"/>
  <c r="R70" s="1"/>
  <c r="Q72"/>
  <c r="P72"/>
  <c r="O72"/>
  <c r="N72"/>
  <c r="N70" s="1"/>
  <c r="M72"/>
  <c r="L72"/>
  <c r="K72"/>
  <c r="J72"/>
  <c r="J70" s="1"/>
  <c r="I72"/>
  <c r="H72"/>
  <c r="G72"/>
  <c r="F72"/>
  <c r="F70" s="1"/>
  <c r="E72"/>
  <c r="D72"/>
  <c r="C71"/>
  <c r="AL70"/>
  <c r="AK70"/>
  <c r="AJ70"/>
  <c r="AI70"/>
  <c r="AG70"/>
  <c r="AF70"/>
  <c r="AE70"/>
  <c r="AC70"/>
  <c r="AB70"/>
  <c r="AA70"/>
  <c r="Y70"/>
  <c r="X70"/>
  <c r="W70"/>
  <c r="U70"/>
  <c r="T70"/>
  <c r="S70"/>
  <c r="Q70"/>
  <c r="P70"/>
  <c r="O70"/>
  <c r="M70"/>
  <c r="L70"/>
  <c r="K70"/>
  <c r="I70"/>
  <c r="H70"/>
  <c r="G70"/>
  <c r="E70"/>
  <c r="D70"/>
  <c r="B81" i="23"/>
  <c r="B80"/>
  <c r="B79"/>
  <c r="B78"/>
  <c r="B77"/>
  <c r="B76"/>
  <c r="B75"/>
  <c r="B74"/>
  <c r="B73"/>
  <c r="Z72"/>
  <c r="Z70" s="1"/>
  <c r="Y72"/>
  <c r="X72"/>
  <c r="X70" s="1"/>
  <c r="W72"/>
  <c r="W70" s="1"/>
  <c r="V72"/>
  <c r="V70" s="1"/>
  <c r="U72"/>
  <c r="U70" s="1"/>
  <c r="T72"/>
  <c r="S72"/>
  <c r="S70" s="1"/>
  <c r="R72"/>
  <c r="R70" s="1"/>
  <c r="Q72"/>
  <c r="Q70" s="1"/>
  <c r="P72"/>
  <c r="P70" s="1"/>
  <c r="O72"/>
  <c r="O70" s="1"/>
  <c r="N72"/>
  <c r="N70" s="1"/>
  <c r="M72"/>
  <c r="L72"/>
  <c r="L70" s="1"/>
  <c r="K72"/>
  <c r="K70" s="1"/>
  <c r="J72"/>
  <c r="J70" s="1"/>
  <c r="I72"/>
  <c r="I70" s="1"/>
  <c r="H72"/>
  <c r="H70" s="1"/>
  <c r="G72"/>
  <c r="G70" s="1"/>
  <c r="F72"/>
  <c r="F70" s="1"/>
  <c r="E72"/>
  <c r="E70" s="1"/>
  <c r="D72"/>
  <c r="D70" s="1"/>
  <c r="C72"/>
  <c r="C70" s="1"/>
  <c r="B71"/>
  <c r="AB70" s="1"/>
  <c r="Y70"/>
  <c r="T70"/>
  <c r="M70"/>
  <c r="T82" i="26"/>
  <c r="C82"/>
  <c r="T81"/>
  <c r="C81"/>
  <c r="T80"/>
  <c r="C80"/>
  <c r="T79"/>
  <c r="C79"/>
  <c r="T78"/>
  <c r="C78"/>
  <c r="T77"/>
  <c r="C77"/>
  <c r="T76"/>
  <c r="C76"/>
  <c r="T75"/>
  <c r="C75"/>
  <c r="T74"/>
  <c r="C74"/>
  <c r="AB73"/>
  <c r="AB71" s="1"/>
  <c r="AA73"/>
  <c r="AA71" s="1"/>
  <c r="Z73"/>
  <c r="Z71" s="1"/>
  <c r="Y73"/>
  <c r="X73"/>
  <c r="X71" s="1"/>
  <c r="W73"/>
  <c r="W71" s="1"/>
  <c r="V73"/>
  <c r="V71" s="1"/>
  <c r="U73"/>
  <c r="S73"/>
  <c r="S71" s="1"/>
  <c r="R73"/>
  <c r="R71" s="1"/>
  <c r="Q73"/>
  <c r="Q71" s="1"/>
  <c r="P73"/>
  <c r="P71" s="1"/>
  <c r="O73"/>
  <c r="O71" s="1"/>
  <c r="N73"/>
  <c r="N71" s="1"/>
  <c r="M73"/>
  <c r="M71" s="1"/>
  <c r="L73"/>
  <c r="L71" s="1"/>
  <c r="K73"/>
  <c r="K71" s="1"/>
  <c r="J73"/>
  <c r="J71" s="1"/>
  <c r="I73"/>
  <c r="I71" s="1"/>
  <c r="H73"/>
  <c r="H71" s="1"/>
  <c r="G73"/>
  <c r="G71" s="1"/>
  <c r="F73"/>
  <c r="F71" s="1"/>
  <c r="E73"/>
  <c r="E71" s="1"/>
  <c r="D73"/>
  <c r="T72"/>
  <c r="C72"/>
  <c r="Y71"/>
  <c r="U71"/>
  <c r="D71"/>
  <c r="B69" i="23"/>
  <c r="B68"/>
  <c r="B67"/>
  <c r="Z66"/>
  <c r="Z65" s="1"/>
  <c r="Z63" s="1"/>
  <c r="Y65"/>
  <c r="X65"/>
  <c r="X63" s="1"/>
  <c r="W65"/>
  <c r="W63" s="1"/>
  <c r="V65"/>
  <c r="V63" s="1"/>
  <c r="U65"/>
  <c r="U63" s="1"/>
  <c r="T65"/>
  <c r="T63" s="1"/>
  <c r="S65"/>
  <c r="R65"/>
  <c r="R63" s="1"/>
  <c r="Q65"/>
  <c r="Q63" s="1"/>
  <c r="P65"/>
  <c r="P63" s="1"/>
  <c r="O65"/>
  <c r="O63" s="1"/>
  <c r="N65"/>
  <c r="N63" s="1"/>
  <c r="M65"/>
  <c r="M63" s="1"/>
  <c r="L65"/>
  <c r="L63" s="1"/>
  <c r="K65"/>
  <c r="K63" s="1"/>
  <c r="J65"/>
  <c r="J63" s="1"/>
  <c r="I65"/>
  <c r="H65"/>
  <c r="H63" s="1"/>
  <c r="G65"/>
  <c r="G63" s="1"/>
  <c r="F65"/>
  <c r="F63" s="1"/>
  <c r="E65"/>
  <c r="E63" s="1"/>
  <c r="D65"/>
  <c r="D63" s="1"/>
  <c r="C65"/>
  <c r="C63" s="1"/>
  <c r="B64"/>
  <c r="Y63"/>
  <c r="S63"/>
  <c r="I63"/>
  <c r="B62" i="24"/>
  <c r="B62" i="27" s="1"/>
  <c r="B61" i="24"/>
  <c r="B61" i="27" s="1"/>
  <c r="B60" i="24"/>
  <c r="B60" i="27" s="1"/>
  <c r="B59" i="24"/>
  <c r="B59" i="27" s="1"/>
  <c r="B58" i="24"/>
  <c r="B58" i="27" s="1"/>
  <c r="B57" i="24"/>
  <c r="B57" i="27" s="1"/>
  <c r="B56" i="24"/>
  <c r="B56" i="27" s="1"/>
  <c r="W55" i="24"/>
  <c r="V55"/>
  <c r="U55"/>
  <c r="U53" s="1"/>
  <c r="T55"/>
  <c r="T53" s="1"/>
  <c r="S55"/>
  <c r="R55"/>
  <c r="Q55"/>
  <c r="Q53" s="1"/>
  <c r="P55"/>
  <c r="O55"/>
  <c r="N55"/>
  <c r="M55"/>
  <c r="M53" s="1"/>
  <c r="L55"/>
  <c r="K55"/>
  <c r="J55"/>
  <c r="I55"/>
  <c r="I53" s="1"/>
  <c r="H55"/>
  <c r="H53" s="1"/>
  <c r="G55"/>
  <c r="F55"/>
  <c r="E55"/>
  <c r="E53" s="1"/>
  <c r="D55"/>
  <c r="D53" s="1"/>
  <c r="C55"/>
  <c r="B54"/>
  <c r="B54" i="27" s="1"/>
  <c r="W53" i="24"/>
  <c r="V53"/>
  <c r="S53"/>
  <c r="R53"/>
  <c r="P53"/>
  <c r="O53"/>
  <c r="N53"/>
  <c r="L53"/>
  <c r="K53"/>
  <c r="J53"/>
  <c r="G53"/>
  <c r="F53"/>
  <c r="C53"/>
  <c r="B62" i="23"/>
  <c r="B60"/>
  <c r="B59"/>
  <c r="B58"/>
  <c r="B57"/>
  <c r="B56"/>
  <c r="Z55"/>
  <c r="Z53" s="1"/>
  <c r="Y55"/>
  <c r="X55"/>
  <c r="W55"/>
  <c r="W53" s="1"/>
  <c r="V55"/>
  <c r="V53" s="1"/>
  <c r="U55"/>
  <c r="U53" s="1"/>
  <c r="T55"/>
  <c r="T53" s="1"/>
  <c r="S55"/>
  <c r="S53" s="1"/>
  <c r="R55"/>
  <c r="R53" s="1"/>
  <c r="Q55"/>
  <c r="Q53" s="1"/>
  <c r="P55"/>
  <c r="O55"/>
  <c r="O53" s="1"/>
  <c r="N55"/>
  <c r="N53" s="1"/>
  <c r="M55"/>
  <c r="M53" s="1"/>
  <c r="L55"/>
  <c r="L53" s="1"/>
  <c r="K55"/>
  <c r="K53" s="1"/>
  <c r="J55"/>
  <c r="J53" s="1"/>
  <c r="I55"/>
  <c r="H55"/>
  <c r="G55"/>
  <c r="G53" s="1"/>
  <c r="F55"/>
  <c r="F53" s="1"/>
  <c r="E55"/>
  <c r="E53" s="1"/>
  <c r="D55"/>
  <c r="D53" s="1"/>
  <c r="C55"/>
  <c r="C53" s="1"/>
  <c r="B54"/>
  <c r="Y53"/>
  <c r="X53"/>
  <c r="P53"/>
  <c r="I53"/>
  <c r="H53"/>
  <c r="T63" i="26"/>
  <c r="C63"/>
  <c r="T62"/>
  <c r="C62"/>
  <c r="T61"/>
  <c r="C61"/>
  <c r="T60"/>
  <c r="C60"/>
  <c r="T59"/>
  <c r="C59"/>
  <c r="T58"/>
  <c r="C58"/>
  <c r="AB56"/>
  <c r="AB54" s="1"/>
  <c r="AA56"/>
  <c r="AA54" s="1"/>
  <c r="Z56"/>
  <c r="Z54" s="1"/>
  <c r="Y56"/>
  <c r="Y54" s="1"/>
  <c r="X56"/>
  <c r="X54" s="1"/>
  <c r="W56"/>
  <c r="V56"/>
  <c r="V54" s="1"/>
  <c r="U56"/>
  <c r="U54" s="1"/>
  <c r="S56"/>
  <c r="S54" s="1"/>
  <c r="R56"/>
  <c r="R54" s="1"/>
  <c r="Q56"/>
  <c r="Q54" s="1"/>
  <c r="P56"/>
  <c r="P54" s="1"/>
  <c r="O56"/>
  <c r="N56"/>
  <c r="N54" s="1"/>
  <c r="M56"/>
  <c r="M54" s="1"/>
  <c r="L56"/>
  <c r="L54" s="1"/>
  <c r="K56"/>
  <c r="K54" s="1"/>
  <c r="J56"/>
  <c r="J54" s="1"/>
  <c r="I56"/>
  <c r="I54" s="1"/>
  <c r="H56"/>
  <c r="H54" s="1"/>
  <c r="G56"/>
  <c r="G54" s="1"/>
  <c r="F56"/>
  <c r="F54" s="1"/>
  <c r="E56"/>
  <c r="D56"/>
  <c r="D54" s="1"/>
  <c r="T55"/>
  <c r="C55"/>
  <c r="W54"/>
  <c r="O54"/>
  <c r="B52" i="24"/>
  <c r="B52" i="27" s="1"/>
  <c r="B51" i="24"/>
  <c r="B51" i="27" s="1"/>
  <c r="B50" i="24"/>
  <c r="B50" i="27" s="1"/>
  <c r="B49" i="24"/>
  <c r="B49" i="27" s="1"/>
  <c r="B48" i="24"/>
  <c r="B48" i="27" s="1"/>
  <c r="B47" i="24"/>
  <c r="B47" i="27" s="1"/>
  <c r="B46" i="24"/>
  <c r="W45"/>
  <c r="V45"/>
  <c r="V43" s="1"/>
  <c r="U45"/>
  <c r="U43" s="1"/>
  <c r="T45"/>
  <c r="T43" s="1"/>
  <c r="S45"/>
  <c r="R45"/>
  <c r="R43" s="1"/>
  <c r="Q45"/>
  <c r="Q43" s="1"/>
  <c r="P45"/>
  <c r="P43" s="1"/>
  <c r="O45"/>
  <c r="N45"/>
  <c r="N43" s="1"/>
  <c r="M45"/>
  <c r="M43" s="1"/>
  <c r="L45"/>
  <c r="L43" s="1"/>
  <c r="K45"/>
  <c r="J45"/>
  <c r="J43" s="1"/>
  <c r="I45"/>
  <c r="I43" s="1"/>
  <c r="H45"/>
  <c r="H43" s="1"/>
  <c r="G45"/>
  <c r="F45"/>
  <c r="F43" s="1"/>
  <c r="E45"/>
  <c r="E43" s="1"/>
  <c r="D45"/>
  <c r="D43" s="1"/>
  <c r="C45"/>
  <c r="W43"/>
  <c r="S43"/>
  <c r="O43"/>
  <c r="K43"/>
  <c r="G43"/>
  <c r="C43"/>
  <c r="AL45" i="27"/>
  <c r="AK45"/>
  <c r="AJ45"/>
  <c r="AJ43" s="1"/>
  <c r="AI45"/>
  <c r="AI43" s="1"/>
  <c r="AH45"/>
  <c r="AG45"/>
  <c r="AF45"/>
  <c r="AF43" s="1"/>
  <c r="AE45"/>
  <c r="AE43" s="1"/>
  <c r="AD45"/>
  <c r="AC45"/>
  <c r="AB45"/>
  <c r="AB43" s="1"/>
  <c r="AA45"/>
  <c r="AA43" s="1"/>
  <c r="Z45"/>
  <c r="Y45"/>
  <c r="X45"/>
  <c r="X43" s="1"/>
  <c r="W45"/>
  <c r="W43" s="1"/>
  <c r="V45"/>
  <c r="U45"/>
  <c r="T45"/>
  <c r="T43" s="1"/>
  <c r="S45"/>
  <c r="S43" s="1"/>
  <c r="R45"/>
  <c r="Q45"/>
  <c r="P45"/>
  <c r="P43" s="1"/>
  <c r="O45"/>
  <c r="O43" s="1"/>
  <c r="N45"/>
  <c r="M45"/>
  <c r="L45"/>
  <c r="L43" s="1"/>
  <c r="K45"/>
  <c r="K43" s="1"/>
  <c r="J45"/>
  <c r="I45"/>
  <c r="H45"/>
  <c r="H43" s="1"/>
  <c r="G45"/>
  <c r="G43" s="1"/>
  <c r="F45"/>
  <c r="E45"/>
  <c r="D45"/>
  <c r="D43" s="1"/>
  <c r="C45"/>
  <c r="C43" s="1"/>
  <c r="AL43"/>
  <c r="AK43"/>
  <c r="AH43"/>
  <c r="AG43"/>
  <c r="AD43"/>
  <c r="AC43"/>
  <c r="Z43"/>
  <c r="Y43"/>
  <c r="V43"/>
  <c r="U43"/>
  <c r="R43"/>
  <c r="Q43"/>
  <c r="N43"/>
  <c r="M43"/>
  <c r="J43"/>
  <c r="I43"/>
  <c r="F43"/>
  <c r="E43"/>
  <c r="B52" i="23"/>
  <c r="B51"/>
  <c r="B50"/>
  <c r="B49"/>
  <c r="B48"/>
  <c r="B47"/>
  <c r="B46"/>
  <c r="Z45"/>
  <c r="Y45"/>
  <c r="Y43" s="1"/>
  <c r="X45"/>
  <c r="X43" s="1"/>
  <c r="W45"/>
  <c r="W43" s="1"/>
  <c r="V45"/>
  <c r="V43" s="1"/>
  <c r="U45"/>
  <c r="U43" s="1"/>
  <c r="T45"/>
  <c r="S45"/>
  <c r="S43" s="1"/>
  <c r="R45"/>
  <c r="R43" s="1"/>
  <c r="Q45"/>
  <c r="Q43" s="1"/>
  <c r="P45"/>
  <c r="P43" s="1"/>
  <c r="O45"/>
  <c r="O43" s="1"/>
  <c r="N45"/>
  <c r="N43" s="1"/>
  <c r="M45"/>
  <c r="M43" s="1"/>
  <c r="L45"/>
  <c r="L43" s="1"/>
  <c r="K45"/>
  <c r="J45"/>
  <c r="J43" s="1"/>
  <c r="I45"/>
  <c r="I43" s="1"/>
  <c r="H45"/>
  <c r="H43" s="1"/>
  <c r="G45"/>
  <c r="G43" s="1"/>
  <c r="F45"/>
  <c r="F43" s="1"/>
  <c r="E45"/>
  <c r="D45"/>
  <c r="D43" s="1"/>
  <c r="C45"/>
  <c r="Z44"/>
  <c r="Z43" s="1"/>
  <c r="K44"/>
  <c r="T43"/>
  <c r="E43"/>
  <c r="C43"/>
  <c r="AB44" i="26"/>
  <c r="AA44"/>
  <c r="Z44"/>
  <c r="Y44"/>
  <c r="X44"/>
  <c r="W44"/>
  <c r="V44"/>
  <c r="U44"/>
  <c r="T44"/>
  <c r="S44"/>
  <c r="R44"/>
  <c r="Q44"/>
  <c r="P44"/>
  <c r="O44"/>
  <c r="N44"/>
  <c r="M44"/>
  <c r="L44"/>
  <c r="K44"/>
  <c r="J44"/>
  <c r="I44"/>
  <c r="H44"/>
  <c r="G44"/>
  <c r="F44"/>
  <c r="E44"/>
  <c r="D44"/>
  <c r="C44"/>
  <c r="B44"/>
  <c r="B72" i="24" l="1"/>
  <c r="B72" i="27" s="1"/>
  <c r="B75"/>
  <c r="B45" i="24"/>
  <c r="B46" i="27"/>
  <c r="B70" i="24"/>
  <c r="B70" i="27" s="1"/>
  <c r="B55" i="24"/>
  <c r="B55" i="27" s="1"/>
  <c r="B85" i="24"/>
  <c r="B72" i="26"/>
  <c r="B79"/>
  <c r="B78"/>
  <c r="B82"/>
  <c r="B77"/>
  <c r="B105"/>
  <c r="B60"/>
  <c r="B102"/>
  <c r="B61"/>
  <c r="B72" i="23"/>
  <c r="B70" s="1"/>
  <c r="B66"/>
  <c r="B65" s="1"/>
  <c r="B63" s="1"/>
  <c r="B97"/>
  <c r="B44"/>
  <c r="B45"/>
  <c r="B55"/>
  <c r="B90" i="26"/>
  <c r="B62"/>
  <c r="B76"/>
  <c r="B80"/>
  <c r="B55"/>
  <c r="B91"/>
  <c r="B93"/>
  <c r="B101"/>
  <c r="B107"/>
  <c r="B111"/>
  <c r="B109" s="1"/>
  <c r="C56"/>
  <c r="B56" s="1"/>
  <c r="B94"/>
  <c r="B106"/>
  <c r="B100"/>
  <c r="C86"/>
  <c r="B89"/>
  <c r="T98"/>
  <c r="T96" s="1"/>
  <c r="B103"/>
  <c r="B99"/>
  <c r="B108"/>
  <c r="B58"/>
  <c r="B75"/>
  <c r="B84"/>
  <c r="T86"/>
  <c r="T83" s="1"/>
  <c r="B87"/>
  <c r="C98"/>
  <c r="B63"/>
  <c r="T73"/>
  <c r="T71" s="1"/>
  <c r="B92"/>
  <c r="B59"/>
  <c r="B81"/>
  <c r="B85"/>
  <c r="B88"/>
  <c r="B95"/>
  <c r="B97"/>
  <c r="B104"/>
  <c r="B97" i="24"/>
  <c r="B95" i="23"/>
  <c r="E96" i="26"/>
  <c r="C96" s="1"/>
  <c r="B82" i="23"/>
  <c r="B85"/>
  <c r="D83" i="26"/>
  <c r="C83" s="1"/>
  <c r="U83"/>
  <c r="C72" i="27"/>
  <c r="C70"/>
  <c r="C73" i="26"/>
  <c r="C71" s="1"/>
  <c r="B74"/>
  <c r="B53" i="24"/>
  <c r="B53" i="27" s="1"/>
  <c r="B53" i="23"/>
  <c r="C54" i="26"/>
  <c r="T56"/>
  <c r="T54" s="1"/>
  <c r="E54"/>
  <c r="K43" i="23"/>
  <c r="B43" s="1"/>
  <c r="B95" i="24" l="1"/>
  <c r="B95" i="27" s="1"/>
  <c r="B97"/>
  <c r="B82" i="24"/>
  <c r="B82" i="27" s="1"/>
  <c r="B85"/>
  <c r="B43" i="24"/>
  <c r="B43" i="27" s="1"/>
  <c r="B45"/>
  <c r="B86" i="26"/>
  <c r="B96"/>
  <c r="B73"/>
  <c r="B71" s="1"/>
  <c r="B83"/>
  <c r="B98"/>
  <c r="B54"/>
  <c r="B27" i="24"/>
  <c r="B27" i="27" s="1"/>
  <c r="B26" i="24"/>
  <c r="B26" i="27" s="1"/>
  <c r="B25" i="24"/>
  <c r="B25" i="27" s="1"/>
  <c r="B24" i="24"/>
  <c r="B24" i="27" s="1"/>
  <c r="W23" i="24"/>
  <c r="V23"/>
  <c r="V21" s="1"/>
  <c r="U23"/>
  <c r="U21" s="1"/>
  <c r="T23"/>
  <c r="T21" s="1"/>
  <c r="S23"/>
  <c r="R23"/>
  <c r="R21" s="1"/>
  <c r="Q23"/>
  <c r="Q21" s="1"/>
  <c r="P23"/>
  <c r="P21" s="1"/>
  <c r="O23"/>
  <c r="N23"/>
  <c r="M23"/>
  <c r="L23"/>
  <c r="L21" s="1"/>
  <c r="K23"/>
  <c r="J23"/>
  <c r="J21" s="1"/>
  <c r="I23"/>
  <c r="H23"/>
  <c r="H21" s="1"/>
  <c r="G23"/>
  <c r="F23"/>
  <c r="F21" s="1"/>
  <c r="E23"/>
  <c r="E21" s="1"/>
  <c r="D23"/>
  <c r="D21" s="1"/>
  <c r="C23"/>
  <c r="B22"/>
  <c r="B22" i="27" s="1"/>
  <c r="W21" i="24"/>
  <c r="S21"/>
  <c r="O21"/>
  <c r="N21"/>
  <c r="M21"/>
  <c r="K21"/>
  <c r="I21"/>
  <c r="G21"/>
  <c r="C21"/>
  <c r="C27" i="27"/>
  <c r="C26"/>
  <c r="C25"/>
  <c r="C24"/>
  <c r="AL23"/>
  <c r="AL22" s="1"/>
  <c r="AK23"/>
  <c r="AK22" s="1"/>
  <c r="AJ23"/>
  <c r="AI23"/>
  <c r="AI22" s="1"/>
  <c r="AH23"/>
  <c r="AH22" s="1"/>
  <c r="AG23"/>
  <c r="AG22" s="1"/>
  <c r="AF23"/>
  <c r="AE23"/>
  <c r="AE22" s="1"/>
  <c r="AD23"/>
  <c r="AD22" s="1"/>
  <c r="AC23"/>
  <c r="AC22" s="1"/>
  <c r="AB23"/>
  <c r="AA23"/>
  <c r="AA22" s="1"/>
  <c r="Z23"/>
  <c r="Z22" s="1"/>
  <c r="Y23"/>
  <c r="Y22" s="1"/>
  <c r="X23"/>
  <c r="W23"/>
  <c r="W22" s="1"/>
  <c r="V23"/>
  <c r="V22" s="1"/>
  <c r="U23"/>
  <c r="U22" s="1"/>
  <c r="T23"/>
  <c r="S23"/>
  <c r="S22" s="1"/>
  <c r="R23"/>
  <c r="R22" s="1"/>
  <c r="Q23"/>
  <c r="Q22" s="1"/>
  <c r="P23"/>
  <c r="O23"/>
  <c r="O22" s="1"/>
  <c r="N23"/>
  <c r="N22" s="1"/>
  <c r="M23"/>
  <c r="M22" s="1"/>
  <c r="L23"/>
  <c r="K23"/>
  <c r="K22" s="1"/>
  <c r="J23"/>
  <c r="J22" s="1"/>
  <c r="I23"/>
  <c r="I22" s="1"/>
  <c r="H23"/>
  <c r="G23"/>
  <c r="G22" s="1"/>
  <c r="F23"/>
  <c r="F22" s="1"/>
  <c r="E23"/>
  <c r="E22" s="1"/>
  <c r="D23"/>
  <c r="C23"/>
  <c r="AJ22"/>
  <c r="AF22"/>
  <c r="AB22"/>
  <c r="X22"/>
  <c r="T22"/>
  <c r="P22"/>
  <c r="L22"/>
  <c r="H22"/>
  <c r="D22"/>
  <c r="C21"/>
  <c r="B27" i="23"/>
  <c r="B26"/>
  <c r="B25"/>
  <c r="B24"/>
  <c r="Z23"/>
  <c r="Z21" s="1"/>
  <c r="Y23"/>
  <c r="X23"/>
  <c r="W23"/>
  <c r="W21" s="1"/>
  <c r="V23"/>
  <c r="V21" s="1"/>
  <c r="U23"/>
  <c r="T23"/>
  <c r="S23"/>
  <c r="S21" s="1"/>
  <c r="R23"/>
  <c r="R21" s="1"/>
  <c r="Q23"/>
  <c r="P23"/>
  <c r="O23"/>
  <c r="O21" s="1"/>
  <c r="N23"/>
  <c r="N21" s="1"/>
  <c r="M23"/>
  <c r="L23"/>
  <c r="K23"/>
  <c r="K21" s="1"/>
  <c r="J23"/>
  <c r="J21" s="1"/>
  <c r="I23"/>
  <c r="H23"/>
  <c r="G23"/>
  <c r="G21" s="1"/>
  <c r="F23"/>
  <c r="F21" s="1"/>
  <c r="E23"/>
  <c r="D23"/>
  <c r="C23"/>
  <c r="C21" s="1"/>
  <c r="B22"/>
  <c r="Y21"/>
  <c r="X21"/>
  <c r="U21"/>
  <c r="T21"/>
  <c r="Q21"/>
  <c r="P21"/>
  <c r="M21"/>
  <c r="L21"/>
  <c r="I21"/>
  <c r="H21"/>
  <c r="E21"/>
  <c r="D21"/>
  <c r="T28" i="26"/>
  <c r="C28"/>
  <c r="T27"/>
  <c r="C27"/>
  <c r="T26"/>
  <c r="C26"/>
  <c r="C24" s="1"/>
  <c r="T25"/>
  <c r="C25"/>
  <c r="AB24"/>
  <c r="AB22" s="1"/>
  <c r="AA24"/>
  <c r="AA22" s="1"/>
  <c r="Z24"/>
  <c r="Y24"/>
  <c r="Y22" s="1"/>
  <c r="X24"/>
  <c r="X22" s="1"/>
  <c r="W24"/>
  <c r="W22" s="1"/>
  <c r="V24"/>
  <c r="V22" s="1"/>
  <c r="U24"/>
  <c r="U22" s="1"/>
  <c r="S24"/>
  <c r="S22" s="1"/>
  <c r="R24"/>
  <c r="R22" s="1"/>
  <c r="Q24"/>
  <c r="Q22" s="1"/>
  <c r="P24"/>
  <c r="P22" s="1"/>
  <c r="O24"/>
  <c r="O22" s="1"/>
  <c r="N24"/>
  <c r="N22" s="1"/>
  <c r="M24"/>
  <c r="M22" s="1"/>
  <c r="L24"/>
  <c r="L22" s="1"/>
  <c r="K24"/>
  <c r="K22" s="1"/>
  <c r="J24"/>
  <c r="I24"/>
  <c r="I22" s="1"/>
  <c r="H24"/>
  <c r="H22" s="1"/>
  <c r="G24"/>
  <c r="G22" s="1"/>
  <c r="F24"/>
  <c r="F22" s="1"/>
  <c r="E24"/>
  <c r="E22" s="1"/>
  <c r="D24"/>
  <c r="D22" s="1"/>
  <c r="T23"/>
  <c r="C23"/>
  <c r="Z22"/>
  <c r="J22"/>
  <c r="B23" i="24" l="1"/>
  <c r="C22" i="26"/>
  <c r="B25"/>
  <c r="T24"/>
  <c r="B23" i="23"/>
  <c r="B21" s="1"/>
  <c r="B23" i="26"/>
  <c r="B27"/>
  <c r="T22"/>
  <c r="B28"/>
  <c r="C22" i="27"/>
  <c r="B26" i="26"/>
  <c r="B21" i="24" l="1"/>
  <c r="B21" i="27" s="1"/>
  <c r="B23"/>
  <c r="B24" i="26"/>
  <c r="B22" s="1"/>
  <c r="B20" i="24"/>
  <c r="B20" i="27" s="1"/>
  <c r="B19" i="24"/>
  <c r="B19" i="27" s="1"/>
  <c r="B18" i="24"/>
  <c r="B18" i="27" s="1"/>
  <c r="B17" i="24"/>
  <c r="B17" i="27" s="1"/>
  <c r="B16" i="24"/>
  <c r="B16" i="27" s="1"/>
  <c r="B15" i="24"/>
  <c r="B15" i="27" s="1"/>
  <c r="B14" i="24"/>
  <c r="B14" i="27" s="1"/>
  <c r="B13" i="24"/>
  <c r="B13" i="27" s="1"/>
  <c r="B12" i="24"/>
  <c r="B12" i="27" s="1"/>
  <c r="W11" i="24"/>
  <c r="W9" s="1"/>
  <c r="W8" s="1"/>
  <c r="W7" s="1"/>
  <c r="V11"/>
  <c r="V9" s="1"/>
  <c r="V8" s="1"/>
  <c r="V7" s="1"/>
  <c r="U11"/>
  <c r="T11"/>
  <c r="S11"/>
  <c r="S9" s="1"/>
  <c r="S8" s="1"/>
  <c r="S7" s="1"/>
  <c r="R11"/>
  <c r="Q11"/>
  <c r="P11"/>
  <c r="O11"/>
  <c r="O9" s="1"/>
  <c r="O8" s="1"/>
  <c r="O7" s="1"/>
  <c r="N11"/>
  <c r="M11"/>
  <c r="L11"/>
  <c r="K11"/>
  <c r="K9" s="1"/>
  <c r="K8" s="1"/>
  <c r="K7" s="1"/>
  <c r="J11"/>
  <c r="J9" s="1"/>
  <c r="J8" s="1"/>
  <c r="J7" s="1"/>
  <c r="I11"/>
  <c r="H11"/>
  <c r="G11"/>
  <c r="G9" s="1"/>
  <c r="G8" s="1"/>
  <c r="G7" s="1"/>
  <c r="F11"/>
  <c r="F9" s="1"/>
  <c r="F8" s="1"/>
  <c r="F7" s="1"/>
  <c r="E11"/>
  <c r="D11"/>
  <c r="C11"/>
  <c r="C9" s="1"/>
  <c r="C8" s="1"/>
  <c r="C7" s="1"/>
  <c r="B10"/>
  <c r="B10" i="27" s="1"/>
  <c r="U9" i="24"/>
  <c r="U8" s="1"/>
  <c r="U7" s="1"/>
  <c r="T9"/>
  <c r="T8" s="1"/>
  <c r="T7" s="1"/>
  <c r="R9"/>
  <c r="R8" s="1"/>
  <c r="R7" s="1"/>
  <c r="Q9"/>
  <c r="Q8" s="1"/>
  <c r="Q7" s="1"/>
  <c r="P9"/>
  <c r="P8" s="1"/>
  <c r="P7" s="1"/>
  <c r="N9"/>
  <c r="N8" s="1"/>
  <c r="N7" s="1"/>
  <c r="M9"/>
  <c r="M8" s="1"/>
  <c r="M7" s="1"/>
  <c r="L9"/>
  <c r="L8" s="1"/>
  <c r="L7" s="1"/>
  <c r="I9"/>
  <c r="I8" s="1"/>
  <c r="I7" s="1"/>
  <c r="H9"/>
  <c r="H8" s="1"/>
  <c r="H7" s="1"/>
  <c r="E9"/>
  <c r="E8" s="1"/>
  <c r="E7" s="1"/>
  <c r="D9"/>
  <c r="D8" s="1"/>
  <c r="D7" s="1"/>
  <c r="C20" i="27"/>
  <c r="C19"/>
  <c r="C18"/>
  <c r="C17"/>
  <c r="C16"/>
  <c r="C15"/>
  <c r="C14"/>
  <c r="C13"/>
  <c r="C12"/>
  <c r="AL11"/>
  <c r="AK11"/>
  <c r="AK9" s="1"/>
  <c r="AJ11"/>
  <c r="AJ9" s="1"/>
  <c r="AI11"/>
  <c r="AH11"/>
  <c r="AG11"/>
  <c r="AG9" s="1"/>
  <c r="AF11"/>
  <c r="AF9" s="1"/>
  <c r="AE11"/>
  <c r="AD11"/>
  <c r="AC11"/>
  <c r="AC9" s="1"/>
  <c r="AB11"/>
  <c r="AB9" s="1"/>
  <c r="AA11"/>
  <c r="Z11"/>
  <c r="Y11"/>
  <c r="Y9" s="1"/>
  <c r="X11"/>
  <c r="X9" s="1"/>
  <c r="W11"/>
  <c r="V11"/>
  <c r="U11"/>
  <c r="U9" s="1"/>
  <c r="T11"/>
  <c r="T9" s="1"/>
  <c r="S11"/>
  <c r="R11"/>
  <c r="Q11"/>
  <c r="Q9" s="1"/>
  <c r="P11"/>
  <c r="P9" s="1"/>
  <c r="O11"/>
  <c r="N11"/>
  <c r="M11"/>
  <c r="M9" s="1"/>
  <c r="L11"/>
  <c r="L9" s="1"/>
  <c r="K11"/>
  <c r="J11"/>
  <c r="I11"/>
  <c r="I9" s="1"/>
  <c r="H11"/>
  <c r="H9" s="1"/>
  <c r="G11"/>
  <c r="F11"/>
  <c r="E11"/>
  <c r="E9" s="1"/>
  <c r="D11"/>
  <c r="D9" s="1"/>
  <c r="C10"/>
  <c r="AL9"/>
  <c r="AI9"/>
  <c r="AH9"/>
  <c r="AE9"/>
  <c r="AD9"/>
  <c r="AA9"/>
  <c r="Z9"/>
  <c r="W9"/>
  <c r="V9"/>
  <c r="S9"/>
  <c r="R9"/>
  <c r="O9"/>
  <c r="N9"/>
  <c r="K9"/>
  <c r="J9"/>
  <c r="G9"/>
  <c r="F9"/>
  <c r="B20" i="23"/>
  <c r="P19"/>
  <c r="P11" s="1"/>
  <c r="P9" s="1"/>
  <c r="N19"/>
  <c r="N11" s="1"/>
  <c r="N9" s="1"/>
  <c r="M19"/>
  <c r="J19"/>
  <c r="E18"/>
  <c r="E11" s="1"/>
  <c r="E9" s="1"/>
  <c r="E8" s="1"/>
  <c r="D18"/>
  <c r="D11" s="1"/>
  <c r="B14"/>
  <c r="B13"/>
  <c r="B12"/>
  <c r="Z11"/>
  <c r="Z9" s="1"/>
  <c r="Y11"/>
  <c r="Y9" s="1"/>
  <c r="X11"/>
  <c r="X9" s="1"/>
  <c r="W11"/>
  <c r="W9" s="1"/>
  <c r="V11"/>
  <c r="V9" s="1"/>
  <c r="U11"/>
  <c r="U9" s="1"/>
  <c r="T11"/>
  <c r="S11"/>
  <c r="S9" s="1"/>
  <c r="R11"/>
  <c r="R9" s="1"/>
  <c r="Q11"/>
  <c r="Q9" s="1"/>
  <c r="O11"/>
  <c r="O9" s="1"/>
  <c r="M11"/>
  <c r="M9" s="1"/>
  <c r="L11"/>
  <c r="L9" s="1"/>
  <c r="K11"/>
  <c r="K9" s="1"/>
  <c r="I11"/>
  <c r="I9" s="1"/>
  <c r="H11"/>
  <c r="H9" s="1"/>
  <c r="G11"/>
  <c r="F11"/>
  <c r="F9" s="1"/>
  <c r="C11"/>
  <c r="C9" s="1"/>
  <c r="B10"/>
  <c r="T9"/>
  <c r="G9"/>
  <c r="T21" i="26"/>
  <c r="C21"/>
  <c r="T20"/>
  <c r="C20"/>
  <c r="T19"/>
  <c r="C19"/>
  <c r="T15"/>
  <c r="C15"/>
  <c r="T13"/>
  <c r="C13"/>
  <c r="AB12"/>
  <c r="AB10" s="1"/>
  <c r="AB9" s="1"/>
  <c r="AA12"/>
  <c r="AA10" s="1"/>
  <c r="AA9" s="1"/>
  <c r="Z12"/>
  <c r="Z10" s="1"/>
  <c r="Z9" s="1"/>
  <c r="Y12"/>
  <c r="Y10" s="1"/>
  <c r="Y9" s="1"/>
  <c r="X12"/>
  <c r="X10" s="1"/>
  <c r="X9" s="1"/>
  <c r="W12"/>
  <c r="W10" s="1"/>
  <c r="W9" s="1"/>
  <c r="V12"/>
  <c r="V10" s="1"/>
  <c r="V9" s="1"/>
  <c r="U12"/>
  <c r="U10" s="1"/>
  <c r="U9" s="1"/>
  <c r="S12"/>
  <c r="R12"/>
  <c r="Q12"/>
  <c r="Q10" s="1"/>
  <c r="Q9" s="1"/>
  <c r="P12"/>
  <c r="P10" s="1"/>
  <c r="P9" s="1"/>
  <c r="O12"/>
  <c r="O10" s="1"/>
  <c r="O9" s="1"/>
  <c r="N12"/>
  <c r="N10" s="1"/>
  <c r="N9" s="1"/>
  <c r="M12"/>
  <c r="M10" s="1"/>
  <c r="M9" s="1"/>
  <c r="L12"/>
  <c r="L10" s="1"/>
  <c r="L9" s="1"/>
  <c r="K12"/>
  <c r="J12"/>
  <c r="I12"/>
  <c r="I10" s="1"/>
  <c r="I9" s="1"/>
  <c r="H12"/>
  <c r="H10" s="1"/>
  <c r="H9" s="1"/>
  <c r="G12"/>
  <c r="G10" s="1"/>
  <c r="G9" s="1"/>
  <c r="F12"/>
  <c r="F10" s="1"/>
  <c r="F9" s="1"/>
  <c r="E12"/>
  <c r="E10" s="1"/>
  <c r="E9" s="1"/>
  <c r="D12"/>
  <c r="D10" s="1"/>
  <c r="D9" s="1"/>
  <c r="T11"/>
  <c r="C11"/>
  <c r="S10"/>
  <c r="S9" s="1"/>
  <c r="R10"/>
  <c r="R9" s="1"/>
  <c r="K10"/>
  <c r="K9" s="1"/>
  <c r="J10"/>
  <c r="J9" s="1"/>
  <c r="B31" i="5"/>
  <c r="C31"/>
  <c r="D31"/>
  <c r="E31"/>
  <c r="F31"/>
  <c r="G31"/>
  <c r="H31"/>
  <c r="I31"/>
  <c r="J31"/>
  <c r="K31"/>
  <c r="L31"/>
  <c r="M31"/>
  <c r="N31"/>
  <c r="O31"/>
  <c r="P31"/>
  <c r="Q31"/>
  <c r="B21" i="26" l="1"/>
  <c r="B19" i="23"/>
  <c r="B18"/>
  <c r="B13" i="26"/>
  <c r="B19"/>
  <c r="B11"/>
  <c r="C10"/>
  <c r="C9" s="1"/>
  <c r="B15"/>
  <c r="B20"/>
  <c r="B11" i="24"/>
  <c r="C11" i="27"/>
  <c r="D9" i="23"/>
  <c r="J11"/>
  <c r="J9" s="1"/>
  <c r="T10" i="26"/>
  <c r="T9" s="1"/>
  <c r="T12"/>
  <c r="C12"/>
  <c r="C39" i="6"/>
  <c r="C221" s="1"/>
  <c r="B9" i="24" l="1"/>
  <c r="B11" i="27"/>
  <c r="B9" i="23"/>
  <c r="B8" s="1"/>
  <c r="B10" i="26"/>
  <c r="B9" s="1"/>
  <c r="B12"/>
  <c r="C9" i="27"/>
  <c r="B11" i="23"/>
  <c r="E210" i="6"/>
  <c r="F210"/>
  <c r="G210"/>
  <c r="H210"/>
  <c r="E207"/>
  <c r="F207"/>
  <c r="G207"/>
  <c r="H207"/>
  <c r="E197"/>
  <c r="F197"/>
  <c r="G197"/>
  <c r="H197"/>
  <c r="E192"/>
  <c r="F192"/>
  <c r="G192"/>
  <c r="D188"/>
  <c r="E188"/>
  <c r="F188"/>
  <c r="G188"/>
  <c r="H188"/>
  <c r="H184"/>
  <c r="G184"/>
  <c r="F184"/>
  <c r="E184"/>
  <c r="E168"/>
  <c r="F168"/>
  <c r="G168"/>
  <c r="H168"/>
  <c r="E164"/>
  <c r="F164"/>
  <c r="G164"/>
  <c r="H164"/>
  <c r="E156"/>
  <c r="F156"/>
  <c r="G156"/>
  <c r="H156"/>
  <c r="E148"/>
  <c r="F148"/>
  <c r="G148"/>
  <c r="H148"/>
  <c r="E139"/>
  <c r="F139"/>
  <c r="G139"/>
  <c r="H139"/>
  <c r="E132"/>
  <c r="F132"/>
  <c r="G132"/>
  <c r="H132"/>
  <c r="H221" s="1"/>
  <c r="E116"/>
  <c r="F116"/>
  <c r="G116"/>
  <c r="H116"/>
  <c r="E102"/>
  <c r="F102"/>
  <c r="G102"/>
  <c r="H102"/>
  <c r="H80"/>
  <c r="G80"/>
  <c r="F80"/>
  <c r="E80"/>
  <c r="H73"/>
  <c r="G73"/>
  <c r="G221" s="1"/>
  <c r="F73"/>
  <c r="E73"/>
  <c r="H62"/>
  <c r="G62"/>
  <c r="F62"/>
  <c r="E62"/>
  <c r="G51"/>
  <c r="F51"/>
  <c r="E51"/>
  <c r="D51"/>
  <c r="G39"/>
  <c r="F39"/>
  <c r="E39"/>
  <c r="G36"/>
  <c r="F36"/>
  <c r="E36"/>
  <c r="E33"/>
  <c r="F33"/>
  <c r="G33"/>
  <c r="H33"/>
  <c r="E6"/>
  <c r="F6"/>
  <c r="D210"/>
  <c r="D207"/>
  <c r="D197"/>
  <c r="D192"/>
  <c r="D184"/>
  <c r="D174"/>
  <c r="D168"/>
  <c r="D164"/>
  <c r="D156"/>
  <c r="D148"/>
  <c r="D139"/>
  <c r="D132"/>
  <c r="D116"/>
  <c r="D102"/>
  <c r="D80"/>
  <c r="D73"/>
  <c r="D62"/>
  <c r="D39"/>
  <c r="D36"/>
  <c r="D33"/>
  <c r="D6"/>
  <c r="B221"/>
  <c r="F8" i="18"/>
  <c r="C16"/>
  <c r="B9" i="27" l="1"/>
  <c r="B8" s="1"/>
  <c r="B8" i="24"/>
  <c r="B7" s="1"/>
  <c r="B7" i="27" s="1"/>
  <c r="F221" i="6"/>
  <c r="E221"/>
  <c r="D221"/>
  <c r="F7" i="18"/>
  <c r="F90" s="1"/>
  <c r="E7"/>
  <c r="E90" s="1"/>
  <c r="C8"/>
  <c r="C7" s="1"/>
  <c r="C90" s="1"/>
  <c r="B52"/>
  <c r="B9"/>
  <c r="D7" i="48"/>
  <c r="D8"/>
  <c r="D9"/>
  <c r="D10"/>
  <c r="D11"/>
  <c r="D12"/>
  <c r="D13"/>
  <c r="D14"/>
  <c r="D15"/>
  <c r="D16"/>
  <c r="D17"/>
  <c r="D19"/>
  <c r="D20"/>
  <c r="D21"/>
  <c r="D22"/>
  <c r="D23"/>
  <c r="D24"/>
  <c r="D25"/>
  <c r="D26"/>
  <c r="D28"/>
  <c r="D29"/>
  <c r="D30"/>
  <c r="D31"/>
  <c r="D32"/>
  <c r="D33"/>
  <c r="D34"/>
  <c r="D35"/>
  <c r="D36"/>
  <c r="D37"/>
  <c r="D39"/>
  <c r="D40"/>
  <c r="D41"/>
  <c r="D42"/>
  <c r="D43"/>
  <c r="D44"/>
  <c r="D45"/>
  <c r="D46"/>
  <c r="D47"/>
  <c r="D48"/>
  <c r="D50"/>
  <c r="D51"/>
  <c r="D52"/>
  <c r="D53"/>
  <c r="D54"/>
  <c r="D55"/>
  <c r="D56"/>
  <c r="D57"/>
  <c r="D58"/>
  <c r="D59"/>
  <c r="D61"/>
  <c r="D62"/>
  <c r="D63"/>
  <c r="D64"/>
  <c r="D65"/>
  <c r="D66"/>
  <c r="D67"/>
  <c r="D68"/>
  <c r="D69"/>
  <c r="D70"/>
  <c r="D72"/>
  <c r="D73"/>
  <c r="D74"/>
  <c r="D75"/>
  <c r="D76"/>
  <c r="D77"/>
  <c r="D78"/>
  <c r="D80"/>
  <c r="D81"/>
  <c r="D82"/>
  <c r="D83"/>
  <c r="D84"/>
  <c r="D85"/>
  <c r="D86"/>
  <c r="D87"/>
  <c r="D89"/>
  <c r="D90"/>
  <c r="D91"/>
  <c r="D92"/>
  <c r="D93"/>
  <c r="D94"/>
  <c r="D95"/>
  <c r="D96"/>
  <c r="D97"/>
  <c r="D98"/>
  <c r="D99"/>
  <c r="D100"/>
  <c r="D102"/>
  <c r="D103"/>
  <c r="D104"/>
  <c r="D105"/>
  <c r="D106"/>
  <c r="D107"/>
  <c r="D108"/>
  <c r="D109"/>
  <c r="D111"/>
  <c r="D112"/>
  <c r="D113"/>
  <c r="D114"/>
  <c r="D115"/>
  <c r="D116"/>
  <c r="D117"/>
  <c r="D118"/>
  <c r="D119"/>
  <c r="D120"/>
  <c r="D122"/>
  <c r="D123"/>
  <c r="D124"/>
  <c r="D125"/>
  <c r="D126"/>
  <c r="D127"/>
  <c r="D128"/>
  <c r="D129"/>
  <c r="D130"/>
  <c r="D131"/>
  <c r="D132"/>
  <c r="D134"/>
  <c r="D135"/>
  <c r="D136"/>
  <c r="D137"/>
  <c r="D138"/>
  <c r="D139"/>
  <c r="D141"/>
  <c r="D142"/>
  <c r="D143"/>
  <c r="D144"/>
  <c r="D145"/>
  <c r="D146"/>
  <c r="D147"/>
  <c r="D149"/>
  <c r="D150"/>
  <c r="D151"/>
  <c r="D152"/>
  <c r="D153"/>
  <c r="D155"/>
  <c r="D156"/>
  <c r="D157"/>
  <c r="D158"/>
  <c r="D159"/>
  <c r="D160"/>
  <c r="D162"/>
  <c r="D163"/>
  <c r="D164"/>
  <c r="D165"/>
  <c r="D166"/>
  <c r="D167"/>
  <c r="D169"/>
  <c r="D170"/>
  <c r="D171"/>
  <c r="D172"/>
  <c r="D173"/>
  <c r="D174"/>
  <c r="D176"/>
  <c r="D177"/>
  <c r="D178"/>
  <c r="D179"/>
  <c r="D180"/>
  <c r="D181"/>
  <c r="D183"/>
  <c r="D184"/>
  <c r="D185"/>
  <c r="D186"/>
  <c r="D187"/>
  <c r="D188"/>
  <c r="D190"/>
  <c r="D191"/>
  <c r="D192"/>
  <c r="D193"/>
  <c r="D194"/>
  <c r="D195"/>
  <c r="D196"/>
  <c r="D198"/>
  <c r="D199"/>
  <c r="D200"/>
  <c r="D201"/>
  <c r="D202"/>
  <c r="D204"/>
  <c r="D205"/>
  <c r="D206"/>
  <c r="D207"/>
  <c r="D208"/>
  <c r="D210"/>
  <c r="D211"/>
  <c r="D212"/>
  <c r="D213"/>
  <c r="D214"/>
  <c r="D215"/>
  <c r="D217"/>
  <c r="D218"/>
  <c r="D219"/>
  <c r="D220"/>
  <c r="D221"/>
  <c r="D222"/>
  <c r="D223"/>
  <c r="D224"/>
  <c r="D225"/>
  <c r="D226"/>
  <c r="D227"/>
  <c r="D228"/>
  <c r="D229"/>
  <c r="D230"/>
  <c r="D232"/>
  <c r="D233"/>
  <c r="D235"/>
  <c r="D236"/>
  <c r="D237"/>
  <c r="D240"/>
  <c r="D241"/>
  <c r="D242"/>
  <c r="D243"/>
  <c r="D244"/>
  <c r="D245"/>
  <c r="D246"/>
  <c r="D247"/>
  <c r="D248"/>
  <c r="D249"/>
  <c r="D252"/>
  <c r="D253"/>
  <c r="D255"/>
  <c r="D256"/>
  <c r="D257"/>
  <c r="D258"/>
  <c r="D259"/>
  <c r="D260"/>
  <c r="D261"/>
  <c r="D262"/>
  <c r="D263"/>
  <c r="D264"/>
  <c r="D266"/>
  <c r="D267"/>
  <c r="D268"/>
  <c r="D269"/>
  <c r="D270"/>
  <c r="D271"/>
  <c r="D273"/>
  <c r="D274"/>
  <c r="D275"/>
  <c r="D276"/>
  <c r="D277"/>
  <c r="D278"/>
  <c r="D279"/>
  <c r="D281"/>
  <c r="D282"/>
  <c r="D283"/>
  <c r="D284"/>
  <c r="D285"/>
  <c r="D286"/>
  <c r="D287"/>
  <c r="D288"/>
  <c r="D290"/>
  <c r="D291"/>
  <c r="D292"/>
  <c r="D293"/>
  <c r="D294"/>
  <c r="D295"/>
  <c r="D296"/>
  <c r="D297"/>
  <c r="D298"/>
  <c r="D299"/>
  <c r="D300"/>
  <c r="D301"/>
  <c r="D302"/>
  <c r="D304"/>
  <c r="D305"/>
  <c r="D306"/>
  <c r="D307"/>
  <c r="D308"/>
  <c r="D309"/>
  <c r="D310"/>
  <c r="D311"/>
  <c r="D312"/>
  <c r="D314"/>
  <c r="D315"/>
  <c r="D316"/>
  <c r="D317"/>
  <c r="D318"/>
  <c r="D319"/>
  <c r="D320"/>
  <c r="D321"/>
  <c r="D322"/>
  <c r="D324"/>
  <c r="D325"/>
  <c r="D326"/>
  <c r="D327"/>
  <c r="D328"/>
  <c r="D329"/>
  <c r="D330"/>
  <c r="D331"/>
  <c r="D332"/>
  <c r="D333"/>
  <c r="D334"/>
  <c r="D335"/>
  <c r="D336"/>
  <c r="D338"/>
  <c r="D339"/>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0"/>
  <c r="D571"/>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1"/>
  <c r="D772"/>
  <c r="D774"/>
  <c r="D775"/>
  <c r="D776"/>
  <c r="D777"/>
  <c r="D778"/>
  <c r="D779"/>
  <c r="D780"/>
  <c r="D781"/>
  <c r="D782"/>
  <c r="D783"/>
  <c r="D784"/>
  <c r="D785"/>
  <c r="D786"/>
  <c r="D787"/>
  <c r="D788"/>
  <c r="D789"/>
  <c r="D790"/>
  <c r="D791"/>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865"/>
  <c r="D866"/>
  <c r="D867"/>
  <c r="D868"/>
  <c r="D869"/>
  <c r="D870"/>
  <c r="D871"/>
  <c r="D872"/>
  <c r="D873"/>
  <c r="D874"/>
  <c r="D875"/>
  <c r="D876"/>
  <c r="D877"/>
  <c r="D878"/>
  <c r="D879"/>
  <c r="D880"/>
  <c r="D881"/>
  <c r="D882"/>
  <c r="D883"/>
  <c r="D884"/>
  <c r="D885"/>
  <c r="D886"/>
  <c r="D887"/>
  <c r="D888"/>
  <c r="D889"/>
  <c r="D890"/>
  <c r="D891"/>
  <c r="D892"/>
  <c r="D893"/>
  <c r="D894"/>
  <c r="D895"/>
  <c r="D896"/>
  <c r="D897"/>
  <c r="D898"/>
  <c r="D899"/>
  <c r="D900"/>
  <c r="D901"/>
  <c r="D902"/>
  <c r="D904"/>
  <c r="D905"/>
  <c r="D906"/>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2"/>
  <c r="D943"/>
  <c r="D944"/>
  <c r="D945"/>
  <c r="D946"/>
  <c r="D947"/>
  <c r="D948"/>
  <c r="D949"/>
  <c r="D950"/>
  <c r="D951"/>
  <c r="D952"/>
  <c r="D953"/>
  <c r="D954"/>
  <c r="D955"/>
  <c r="D956"/>
  <c r="D957"/>
  <c r="D958"/>
  <c r="D959"/>
  <c r="D960"/>
  <c r="D961"/>
  <c r="D962"/>
  <c r="D963"/>
  <c r="D964"/>
  <c r="D965"/>
  <c r="D966"/>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2"/>
  <c r="D1033"/>
  <c r="D1034"/>
  <c r="D1035"/>
  <c r="D1036"/>
  <c r="D1037"/>
  <c r="D1038"/>
  <c r="D1039"/>
  <c r="D1040"/>
  <c r="D1041"/>
  <c r="D1042"/>
  <c r="D1043"/>
  <c r="D1044"/>
  <c r="D1045"/>
  <c r="D1046"/>
  <c r="D1047"/>
  <c r="D1048"/>
  <c r="D1049"/>
  <c r="D1050"/>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2"/>
  <c r="D1093"/>
  <c r="D1094"/>
  <c r="D1095"/>
  <c r="D1096"/>
  <c r="D1097"/>
  <c r="D1098"/>
  <c r="D1099"/>
  <c r="D1100"/>
  <c r="D1101"/>
  <c r="D1102"/>
  <c r="D1103"/>
  <c r="D1104"/>
  <c r="D1105"/>
  <c r="D1106"/>
  <c r="D1107"/>
  <c r="D1108"/>
  <c r="D1109"/>
  <c r="D1110"/>
  <c r="D1111"/>
  <c r="D1112"/>
  <c r="D1113"/>
  <c r="D1114"/>
  <c r="D1115"/>
  <c r="D1116"/>
  <c r="D1117"/>
  <c r="D1118"/>
  <c r="D1119"/>
  <c r="D1120"/>
  <c r="D1121"/>
  <c r="D1122"/>
  <c r="D1123"/>
  <c r="D1124"/>
  <c r="D1125"/>
  <c r="D1126"/>
  <c r="D1127"/>
  <c r="D1128"/>
  <c r="D1129"/>
  <c r="D1130"/>
  <c r="D1131"/>
  <c r="D1132"/>
  <c r="D1133"/>
  <c r="D1134"/>
  <c r="D1136"/>
  <c r="D1137"/>
  <c r="D1138"/>
  <c r="D1139"/>
  <c r="D1140"/>
  <c r="D1141"/>
  <c r="D1142"/>
  <c r="D1143"/>
  <c r="D1144"/>
  <c r="D1145"/>
  <c r="D1146"/>
  <c r="D1147"/>
  <c r="D1148"/>
  <c r="D1149"/>
  <c r="D1150"/>
  <c r="D1151"/>
  <c r="D1152"/>
  <c r="D1153"/>
  <c r="D1154"/>
  <c r="D1157"/>
  <c r="D1158"/>
  <c r="D1159"/>
  <c r="D1160"/>
  <c r="D1161"/>
  <c r="D1162"/>
  <c r="D1163"/>
  <c r="D1164"/>
  <c r="D1165"/>
  <c r="D1166"/>
  <c r="D1167"/>
  <c r="D1168"/>
  <c r="D1169"/>
  <c r="D1170"/>
  <c r="D1171"/>
  <c r="D1172"/>
  <c r="D1173"/>
  <c r="D1174"/>
  <c r="D1175"/>
  <c r="D1176"/>
  <c r="D1177"/>
  <c r="D1178"/>
  <c r="D1179"/>
  <c r="D1180"/>
  <c r="D1181"/>
  <c r="D1182"/>
  <c r="D1183"/>
  <c r="D1184"/>
  <c r="D1185"/>
  <c r="D1187"/>
  <c r="D1188"/>
  <c r="D1189"/>
  <c r="D1190"/>
  <c r="D1191"/>
  <c r="D1192"/>
  <c r="D1193"/>
  <c r="D1194"/>
  <c r="D1195"/>
  <c r="D1196"/>
  <c r="D1197"/>
  <c r="D1198"/>
  <c r="D1200"/>
  <c r="D1201"/>
  <c r="D1202"/>
  <c r="D1203"/>
  <c r="D1204"/>
  <c r="D1205"/>
  <c r="D1206"/>
  <c r="D1207"/>
  <c r="D1208"/>
  <c r="D1209"/>
  <c r="D1210"/>
  <c r="D1211"/>
  <c r="D1212"/>
  <c r="D1213"/>
  <c r="D1214"/>
  <c r="D1215"/>
  <c r="D1216"/>
  <c r="D1217"/>
  <c r="D1218"/>
  <c r="D1219"/>
  <c r="D1220"/>
  <c r="D1221"/>
  <c r="D1222"/>
  <c r="D1223"/>
  <c r="D1224"/>
  <c r="D1225"/>
  <c r="D1226"/>
  <c r="D1227"/>
  <c r="D1228"/>
  <c r="D1229"/>
  <c r="D1230"/>
  <c r="D1231"/>
  <c r="D1232"/>
  <c r="D1233"/>
  <c r="D1234"/>
  <c r="D1235"/>
  <c r="D1236"/>
  <c r="D1237"/>
  <c r="D1238"/>
  <c r="D1239"/>
  <c r="D1240"/>
  <c r="D1241"/>
  <c r="D1242"/>
  <c r="D1243"/>
  <c r="D1244"/>
  <c r="D1245"/>
  <c r="D1246"/>
  <c r="D1247"/>
  <c r="D1248"/>
  <c r="D1249"/>
  <c r="D1250"/>
  <c r="D1251"/>
  <c r="D1252"/>
  <c r="D1253"/>
  <c r="D1254"/>
  <c r="D1255"/>
  <c r="D1256"/>
  <c r="D1257"/>
  <c r="D1258"/>
  <c r="D1259"/>
  <c r="D1260"/>
  <c r="D1261"/>
  <c r="D1262"/>
  <c r="D1263"/>
  <c r="D1264"/>
  <c r="D1265"/>
  <c r="D1266"/>
  <c r="D1267"/>
  <c r="D33" i="12"/>
  <c r="D32"/>
  <c r="D31"/>
  <c r="D30"/>
  <c r="D29"/>
  <c r="D28"/>
  <c r="D27"/>
  <c r="D26"/>
  <c r="D25"/>
  <c r="D24"/>
  <c r="D23"/>
  <c r="D22"/>
  <c r="D21"/>
  <c r="D20"/>
  <c r="D19"/>
  <c r="D18"/>
  <c r="D17"/>
  <c r="D16"/>
  <c r="D15"/>
  <c r="D14"/>
  <c r="D13"/>
  <c r="D12"/>
  <c r="D11"/>
  <c r="D10"/>
  <c r="D9"/>
  <c r="D8"/>
  <c r="D7"/>
  <c r="D6"/>
  <c r="D5"/>
  <c r="D1199" i="48" l="1"/>
  <c r="D1186"/>
  <c r="D1156"/>
  <c r="D1135"/>
  <c r="D1091"/>
  <c r="D1051"/>
  <c r="D1031"/>
  <c r="D967"/>
  <c r="D903"/>
  <c r="D792"/>
  <c r="D773"/>
  <c r="D699"/>
  <c r="D629"/>
  <c r="D447"/>
  <c r="D391"/>
  <c r="D340"/>
  <c r="D337"/>
  <c r="D323"/>
  <c r="D313"/>
  <c r="D303"/>
  <c r="D289"/>
  <c r="D280"/>
  <c r="D272"/>
  <c r="D265"/>
  <c r="D254"/>
  <c r="D234"/>
  <c r="D231"/>
  <c r="D216"/>
  <c r="D209"/>
  <c r="D203"/>
  <c r="D197"/>
  <c r="D189"/>
  <c r="D182"/>
  <c r="D175"/>
  <c r="D168"/>
  <c r="D161"/>
  <c r="D154"/>
  <c r="D148"/>
  <c r="D140"/>
  <c r="D133"/>
  <c r="D121"/>
  <c r="D110"/>
  <c r="D101"/>
  <c r="D88"/>
  <c r="D79"/>
  <c r="D71"/>
  <c r="D60"/>
  <c r="D49"/>
  <c r="D38"/>
  <c r="D27"/>
  <c r="D18"/>
  <c r="D6"/>
  <c r="D504" l="1"/>
  <c r="D505"/>
  <c r="D238"/>
  <c r="D239"/>
  <c r="D250"/>
  <c r="D251"/>
  <c r="D5"/>
  <c r="D1155"/>
  <c r="D1268" l="1"/>
</calcChain>
</file>

<file path=xl/sharedStrings.xml><?xml version="1.0" encoding="utf-8"?>
<sst xmlns="http://schemas.openxmlformats.org/spreadsheetml/2006/main" count="2951" uniqueCount="1738">
  <si>
    <t xml:space="preserve"> </t>
  </si>
  <si>
    <t>地区名称</t>
  </si>
  <si>
    <t>北京市</t>
  </si>
  <si>
    <t>2021年地方财政预算表</t>
  </si>
  <si>
    <t>天津市</t>
  </si>
  <si>
    <t>河北省</t>
  </si>
  <si>
    <t>山西省</t>
  </si>
  <si>
    <t>内蒙古自治区</t>
  </si>
  <si>
    <t>目  录</t>
  </si>
  <si>
    <t xml:space="preserve">            表一 2021年一般公共预算收入表</t>
  </si>
  <si>
    <t xml:space="preserve">            表二 2021年一般公共预算支出表</t>
  </si>
  <si>
    <t xml:space="preserve">            表三 2021年一般公共预算收支平衡表</t>
  </si>
  <si>
    <t xml:space="preserve">            表四 2021年一般公共预算支出资金来源情况表</t>
  </si>
  <si>
    <t xml:space="preserve">            表五 2021年一般公共预算支出经济分类情况表</t>
  </si>
  <si>
    <t xml:space="preserve">            表六 2021年地市县一般公共预算收支表</t>
  </si>
  <si>
    <t xml:space="preserve">            表七 2021年省对下一般公共预算转移支付预算表</t>
  </si>
  <si>
    <t xml:space="preserve">            表八 2021年政府性基金预算收支表</t>
  </si>
  <si>
    <t xml:space="preserve">            表九 2021年政府性基金预算收支明细表</t>
  </si>
  <si>
    <t xml:space="preserve">            表十 2021年政府性基金调入专项收入预算表</t>
  </si>
  <si>
    <t xml:space="preserve">            表十一 2021年政府性基金预算支出资金来源情况表</t>
  </si>
  <si>
    <t>表一</t>
  </si>
  <si>
    <t>2021年一般公共预算收入表</t>
  </si>
  <si>
    <t>单位：万元</t>
  </si>
  <si>
    <t>项目</t>
  </si>
  <si>
    <t>上年决算（执行)数</t>
  </si>
  <si>
    <t>预算数</t>
  </si>
  <si>
    <t>预算数为决算（执行）数%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</si>
  <si>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</si>
  <si>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</si>
  <si>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</si>
  <si>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</si>
  <si>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</si>
  <si>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</si>
  <si>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</si>
  <si>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</si>
  <si>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</si>
  <si>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</si>
  <si>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</si>
  <si>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</si>
  <si>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</si>
  <si>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</si>
  <si>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</si>
  <si>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</si>
  <si>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</si>
  <si>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</si>
  <si>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</si>
  <si>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</si>
  <si>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</si>
  <si>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</si>
  <si>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</si>
  <si>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</si>
  <si>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</si>
  <si>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</si>
  <si>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</si>
  <si>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t>
  </si>
  <si>
    <t>2021年一般公共预算支出表</t>
  </si>
  <si>
    <t>备注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</si>
  <si>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</si>
  <si>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</si>
  <si>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</si>
  <si>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</si>
  <si>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</si>
  <si>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</si>
  <si>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</si>
  <si>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</si>
  <si>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</si>
  <si>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</si>
  <si>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</si>
  <si>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</si>
  <si>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</si>
  <si>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</si>
  <si>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</si>
  <si>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</si>
  <si>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</si>
  <si>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</si>
  <si>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</si>
  <si>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</si>
  <si>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</si>
  <si>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</si>
  <si>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</si>
  <si>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</si>
  <si>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</si>
  <si>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</si>
  <si>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</si>
  <si>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</si>
  <si>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</si>
  <si>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</si>
  <si>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</si>
  <si>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</si>
  <si>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</si>
  <si>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</si>
  <si>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</si>
  <si>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</si>
  <si>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</si>
  <si>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</si>
  <si>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</si>
  <si>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</si>
  <si>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</si>
  <si>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</si>
  <si>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</si>
  <si>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</si>
  <si>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</si>
  <si>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</si>
  <si>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</si>
  <si>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</si>
  <si>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</si>
  <si>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</si>
  <si>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</si>
  <si>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</si>
  <si>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</si>
  <si>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</si>
  <si>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</si>
  <si>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</si>
  <si>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</si>
  <si>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</si>
  <si>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</si>
  <si>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</si>
  <si>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</si>
  <si>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</si>
  <si>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</si>
  <si>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</si>
  <si>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</si>
  <si>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</si>
  <si>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</si>
  <si>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</si>
  <si>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</si>
  <si>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</si>
  <si>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</si>
  <si>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</si>
  <si>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</si>
  <si>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</si>
  <si>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</si>
  <si>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</si>
  <si>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</si>
  <si>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</si>
  <si>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</si>
  <si>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</si>
  <si>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</si>
  <si>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</si>
  <si>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</si>
  <si>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</si>
  <si>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</si>
  <si>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</si>
  <si>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</si>
  <si>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</si>
  <si>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</si>
  <si>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</si>
  <si>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</si>
  <si>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</si>
  <si>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</si>
  <si>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</si>
  <si>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</si>
  <si>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</si>
  <si>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</si>
  <si>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</si>
  <si>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</si>
  <si>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</si>
  <si>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</si>
  <si>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</si>
  <si>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</si>
  <si>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</si>
  <si>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</si>
  <si>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</si>
  <si>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</si>
  <si>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</si>
  <si>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</si>
  <si>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</si>
  <si>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</si>
  <si>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</si>
  <si>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</si>
  <si>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</si>
  <si>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</si>
  <si>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</si>
  <si>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</si>
  <si>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</si>
  <si>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</si>
  <si>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</si>
  <si>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</si>
  <si>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</si>
  <si>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</si>
  <si>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</si>
  <si>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</si>
  <si>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</si>
  <si>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</si>
  <si>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</si>
  <si>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</si>
  <si>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</si>
  <si>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</si>
  <si>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对外宣传</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</si>
  <si>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</si>
  <si>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</si>
  <si>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</si>
  <si>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</si>
  <si>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</si>
  <si>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</si>
  <si>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</si>
  <si>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</si>
  <si>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</si>
  <si>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</si>
  <si>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</si>
  <si>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</si>
  <si>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</si>
  <si>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</si>
  <si>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</si>
  <si>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</si>
  <si>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</si>
  <si>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</si>
  <si>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</si>
  <si>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</si>
  <si>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</si>
  <si>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</si>
  <si>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</si>
  <si>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</si>
  <si>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</si>
  <si>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</si>
  <si>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</si>
  <si>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</si>
  <si>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</si>
  <si>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</si>
  <si>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</si>
  <si>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</si>
  <si>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</si>
  <si>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</si>
  <si>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</si>
  <si>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</si>
  <si>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</si>
  <si>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</si>
  <si>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</si>
  <si>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</si>
  <si>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</si>
  <si>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</si>
  <si>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</si>
  <si>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</si>
  <si>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</si>
  <si>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</si>
  <si>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</si>
  <si>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</si>
  <si>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</si>
  <si>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</si>
  <si>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</si>
  <si>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</si>
  <si>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</si>
  <si>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</si>
  <si>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</si>
  <si>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</si>
  <si>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</si>
  <si>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</si>
  <si>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</si>
  <si>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</si>
  <si>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</si>
  <si>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</si>
  <si>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</si>
  <si>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</si>
  <si>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</si>
  <si>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</si>
  <si>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</si>
  <si>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</si>
  <si>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</si>
  <si>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</si>
  <si>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</si>
  <si>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</si>
  <si>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</si>
  <si>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</si>
  <si>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</si>
  <si>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</si>
  <si>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</si>
  <si>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</si>
  <si>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</si>
  <si>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</si>
  <si>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</si>
  <si>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</si>
  <si>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</si>
  <si>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</si>
  <si>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</si>
  <si>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</si>
  <si>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</si>
  <si>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</si>
  <si>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</si>
  <si>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</si>
  <si>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</si>
  <si>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</si>
  <si>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</si>
  <si>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</si>
  <si>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</si>
  <si>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</si>
  <si>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</si>
  <si>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</si>
  <si>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</si>
  <si>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</si>
  <si>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</si>
  <si>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</si>
  <si>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</si>
  <si>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</si>
  <si>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</si>
  <si>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</si>
  <si>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</si>
  <si>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</si>
  <si>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</si>
  <si>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</si>
  <si>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</si>
  <si>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</si>
  <si>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</si>
  <si>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</si>
  <si>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</si>
  <si>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</si>
  <si>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</si>
  <si>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</si>
  <si>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</si>
  <si>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</si>
  <si>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</si>
  <si>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</si>
  <si>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</si>
  <si>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</si>
  <si>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</si>
  <si>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</si>
  <si>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</si>
  <si>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</si>
  <si>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</si>
  <si>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</si>
  <si>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</si>
  <si>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</si>
  <si>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</si>
  <si>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</si>
  <si>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</si>
  <si>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</si>
  <si>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</si>
  <si>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</si>
  <si>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</si>
  <si>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</si>
  <si>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</si>
  <si>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</si>
  <si>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</si>
  <si>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</si>
  <si>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</si>
  <si>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</si>
  <si>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</si>
  <si>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</si>
  <si>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</si>
  <si>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</si>
  <si>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</si>
  <si>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</si>
  <si>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</si>
  <si>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</si>
  <si>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</si>
  <si>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</si>
  <si>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</si>
  <si>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</si>
  <si>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</si>
  <si>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</si>
  <si>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</si>
  <si>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</si>
  <si>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</si>
  <si>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</si>
  <si>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</si>
  <si>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</si>
  <si>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</si>
  <si>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</si>
  <si>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</si>
  <si>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</si>
  <si>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</si>
  <si>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</si>
  <si>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</si>
  <si>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</si>
  <si>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</si>
  <si>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</si>
  <si>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</si>
  <si>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</si>
  <si>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</si>
  <si>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</si>
  <si>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</si>
  <si>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</si>
  <si>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</si>
  <si>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</si>
  <si>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</si>
  <si>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</si>
  <si>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</si>
  <si>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</si>
  <si>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</si>
  <si>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</si>
  <si>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</si>
  <si>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</si>
  <si>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</si>
  <si>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</si>
  <si>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</si>
  <si>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</si>
  <si>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</si>
  <si>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</si>
  <si>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</si>
  <si>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</si>
  <si>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</si>
  <si>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</si>
  <si>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</si>
  <si>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</si>
  <si>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</si>
  <si>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</si>
  <si>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</si>
  <si>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</si>
  <si>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</si>
  <si>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</si>
  <si>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</si>
  <si>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</si>
  <si>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</si>
  <si>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</si>
  <si>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</si>
  <si>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</si>
  <si>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</si>
  <si>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</si>
  <si>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</si>
  <si>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</si>
  <si>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</si>
  <si>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</si>
  <si>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</si>
  <si>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</si>
  <si>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</si>
  <si>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</si>
  <si>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</si>
  <si>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</si>
  <si>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</si>
  <si>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</si>
  <si>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</si>
  <si>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</si>
  <si>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</si>
  <si>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</si>
  <si>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</si>
  <si>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</si>
  <si>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</si>
  <si>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</si>
  <si>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</si>
  <si>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</si>
  <si>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</si>
  <si>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</si>
  <si>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</si>
  <si>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</si>
  <si>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</si>
  <si>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</si>
  <si>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</si>
  <si>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</si>
  <si>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</si>
  <si>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</si>
  <si>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</si>
  <si>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</si>
  <si>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</si>
  <si>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</si>
  <si>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</si>
  <si>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</si>
  <si>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</si>
  <si>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</si>
  <si>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</si>
  <si>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</si>
  <si>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</si>
  <si>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</si>
  <si>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</si>
  <si>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</si>
  <si>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</si>
  <si>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</si>
  <si>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</si>
  <si>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</si>
  <si>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</si>
  <si>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</si>
  <si>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</si>
  <si>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</si>
  <si>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</si>
  <si>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</si>
  <si>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</si>
  <si>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</si>
  <si>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</si>
  <si>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</si>
  <si>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</si>
  <si>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</si>
  <si>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</si>
  <si>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</si>
  <si>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</si>
  <si>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</si>
  <si>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</si>
  <si>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</si>
  <si>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</si>
  <si>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</si>
  <si>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</si>
  <si>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</si>
  <si>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</si>
  <si>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</si>
  <si>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</si>
  <si>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</si>
  <si>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</si>
  <si>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</si>
  <si>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</si>
  <si>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</si>
  <si>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</si>
  <si>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</si>
  <si>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</si>
  <si>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</si>
  <si>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</si>
  <si>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</si>
  <si>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</si>
  <si>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</si>
  <si>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</si>
  <si>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</si>
  <si>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</si>
  <si>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</si>
  <si>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</si>
  <si>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</si>
  <si>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</si>
  <si>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</si>
  <si>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</si>
  <si>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</si>
  <si>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</si>
  <si>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</si>
  <si>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</si>
  <si>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</si>
  <si>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</si>
  <si>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</si>
  <si>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</si>
  <si>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</si>
  <si>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</si>
  <si>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</si>
  <si>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</si>
  <si>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</si>
  <si>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</si>
  <si>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</si>
  <si>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</si>
  <si>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</si>
  <si>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</si>
  <si>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</si>
  <si>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</si>
  <si>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</si>
  <si>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</si>
  <si>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</si>
  <si>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</si>
  <si>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</si>
  <si>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</si>
  <si>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</si>
  <si>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</si>
  <si>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</si>
  <si>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</si>
  <si>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</si>
  <si>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</si>
  <si>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</si>
  <si>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</si>
  <si>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</si>
  <si>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</si>
  <si>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</si>
  <si>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</si>
  <si>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</si>
  <si>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</si>
  <si>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</si>
  <si>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</si>
  <si>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</si>
  <si>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</si>
  <si>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</si>
  <si>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</si>
  <si>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</si>
  <si>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</si>
  <si>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</si>
  <si>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</si>
  <si>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</si>
  <si>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</si>
  <si>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</si>
  <si>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</si>
  <si>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</si>
  <si>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</si>
  <si>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</si>
  <si>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</si>
  <si>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</si>
  <si>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</si>
  <si>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</si>
  <si>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</si>
  <si>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</si>
  <si>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</si>
  <si>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</si>
  <si>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</si>
  <si>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</si>
  <si>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</si>
  <si>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</si>
  <si>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</si>
  <si>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</si>
  <si>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</si>
  <si>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</si>
  <si>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</si>
  <si>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</si>
  <si>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</si>
  <si>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</si>
  <si>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</si>
  <si>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</si>
  <si>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</si>
  <si>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</si>
  <si>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</si>
  <si>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</si>
  <si>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</si>
  <si>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</si>
  <si>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</si>
  <si>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</si>
  <si>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</si>
  <si>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</si>
  <si>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</si>
  <si>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</si>
  <si>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</si>
  <si>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</si>
  <si>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</si>
  <si>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</si>
  <si>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</si>
  <si>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</si>
  <si>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</si>
  <si>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</si>
  <si>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</si>
  <si>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</si>
  <si>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</si>
  <si>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</si>
  <si>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</si>
  <si>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</si>
  <si>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</si>
  <si>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</si>
  <si>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</si>
  <si>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</si>
  <si>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</si>
  <si>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</si>
  <si>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</si>
  <si>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</si>
  <si>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</si>
  <si>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</si>
  <si>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</si>
  <si>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</si>
  <si>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</si>
  <si>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</si>
  <si>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</si>
  <si>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</si>
  <si>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</si>
  <si>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</si>
  <si>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</si>
  <si>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</si>
  <si>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</si>
  <si>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</si>
  <si>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</si>
  <si>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</si>
  <si>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</si>
  <si>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</si>
  <si>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</si>
  <si>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</si>
  <si>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</si>
  <si>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</si>
  <si>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</si>
  <si>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</si>
  <si>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</si>
  <si>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</si>
  <si>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</si>
  <si>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</si>
  <si>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</si>
  <si>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</si>
  <si>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</si>
  <si>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</si>
  <si>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</si>
  <si>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</si>
  <si>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</si>
  <si>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</si>
  <si>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</si>
  <si>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</si>
  <si>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</si>
  <si>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</si>
  <si>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</si>
  <si>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</si>
  <si>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</si>
  <si>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</si>
  <si>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</si>
  <si>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</si>
  <si>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</si>
  <si>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</si>
  <si>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</si>
  <si>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</si>
  <si>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</si>
  <si>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</si>
  <si>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</si>
  <si>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</si>
  <si>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</si>
  <si>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</si>
  <si>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</si>
  <si>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</si>
  <si>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</si>
  <si>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</si>
  <si>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</si>
  <si>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</si>
  <si>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</si>
  <si>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</si>
  <si>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</si>
  <si>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</si>
  <si>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</si>
  <si>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</si>
  <si>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</si>
  <si>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</si>
  <si>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</si>
  <si>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</si>
  <si>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</si>
  <si>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</si>
  <si>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</si>
  <si>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</si>
  <si>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</si>
  <si>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</si>
  <si>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</si>
  <si>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</si>
  <si>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</si>
  <si>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</si>
  <si>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</si>
  <si>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</si>
  <si>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</si>
  <si>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</si>
  <si>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</si>
  <si>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</si>
  <si>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</si>
  <si>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</si>
  <si>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</si>
  <si>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</si>
  <si>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</si>
  <si>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</si>
  <si>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</si>
  <si>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</si>
  <si>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</si>
  <si>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</si>
  <si>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</si>
  <si>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</si>
  <si>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</si>
  <si>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</si>
  <si>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</si>
  <si>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</si>
  <si>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</si>
  <si>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</si>
  <si>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</si>
  <si>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</si>
  <si>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</si>
  <si>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</si>
  <si>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</si>
  <si>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</si>
  <si>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</si>
  <si>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</si>
  <si>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</si>
  <si>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</si>
  <si>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</si>
  <si>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</si>
  <si>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</si>
  <si>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</si>
  <si>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</si>
  <si>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</si>
  <si>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</si>
  <si>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</si>
  <si>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</si>
  <si>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</si>
  <si>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</si>
  <si>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</si>
  <si>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</si>
  <si>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</si>
  <si>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</si>
  <si>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</si>
  <si>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</si>
  <si>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</si>
  <si>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</si>
  <si>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</si>
  <si>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</si>
  <si>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</si>
  <si>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</si>
  <si>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</si>
  <si>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</si>
  <si>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</si>
  <si>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</si>
  <si>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</si>
  <si>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</si>
  <si>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</si>
  <si>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</si>
  <si>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</si>
  <si>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</si>
  <si>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</si>
  <si>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</si>
  <si>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</si>
  <si>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</si>
  <si>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</si>
  <si>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</si>
  <si>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</si>
  <si>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</si>
  <si>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</si>
  <si>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</si>
  <si>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</si>
  <si>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</si>
  <si>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</si>
  <si>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</si>
  <si>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</si>
  <si>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</si>
  <si>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</si>
  <si>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</si>
  <si>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</si>
  <si>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</si>
  <si>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</si>
  <si>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</si>
  <si>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</si>
  <si>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</si>
  <si>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</si>
  <si>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</si>
  <si>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</si>
  <si>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</si>
  <si>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</si>
  <si>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</si>
  <si>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</si>
  <si>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</si>
  <si>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</si>
  <si>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</si>
  <si>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</si>
  <si>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</si>
  <si>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</si>
  <si>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</si>
  <si>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</si>
  <si>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</si>
  <si>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</si>
  <si>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</si>
  <si>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</si>
  <si>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</si>
  <si>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</si>
  <si>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</si>
  <si>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</si>
  <si>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</si>
  <si>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</si>
  <si>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</si>
  <si>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</si>
  <si>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</si>
  <si>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</si>
  <si>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</si>
  <si>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</si>
  <si>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</si>
  <si>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</si>
  <si>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</si>
  <si>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</si>
  <si>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</si>
  <si>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</si>
  <si>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</si>
  <si>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</si>
  <si>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</si>
  <si>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</si>
  <si>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</si>
  <si>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</si>
  <si>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</si>
  <si>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</si>
  <si>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</si>
  <si>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</si>
  <si>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</si>
  <si>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</si>
  <si>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</si>
  <si>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</si>
  <si>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</si>
  <si>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</si>
  <si>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</si>
  <si>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</si>
  <si>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</si>
  <si>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</si>
  <si>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</si>
  <si>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</si>
  <si>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</si>
  <si>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</si>
  <si>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</si>
  <si>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</si>
  <si>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</si>
  <si>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</si>
  <si>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</si>
  <si>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</si>
  <si>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</si>
  <si>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</si>
  <si>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</si>
  <si>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</si>
  <si>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</si>
  <si>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</si>
  <si>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</si>
  <si>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</si>
  <si>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</si>
  <si>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</si>
  <si>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</si>
  <si>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</si>
  <si>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</si>
  <si>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</si>
  <si>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</si>
  <si>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</si>
  <si>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</si>
  <si>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</si>
  <si>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</si>
  <si>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</si>
  <si>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</si>
  <si>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</si>
  <si>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</si>
  <si>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</si>
  <si>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</si>
  <si>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</si>
  <si>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</si>
  <si>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</si>
  <si>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</si>
  <si>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</si>
  <si>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</si>
  <si>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</si>
  <si>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</si>
  <si>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</si>
  <si>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</si>
  <si>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</si>
  <si>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</si>
  <si>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</si>
  <si>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</si>
  <si>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</si>
  <si>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</si>
  <si>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</si>
  <si>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</si>
  <si>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</si>
  <si>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</si>
  <si>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</si>
  <si>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</si>
  <si>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</si>
  <si>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</si>
  <si>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</si>
  <si>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</si>
  <si>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</si>
  <si>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</si>
  <si>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</si>
  <si>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</si>
  <si>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</si>
  <si>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</si>
  <si>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</si>
  <si>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</si>
  <si>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</si>
  <si>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</si>
  <si>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</si>
  <si>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</si>
  <si>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</si>
  <si>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</si>
  <si>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</si>
  <si>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</si>
  <si>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</si>
  <si>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</si>
  <si>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</si>
  <si>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</si>
  <si>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</si>
  <si>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</si>
  <si>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</si>
  <si>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</si>
  <si>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</si>
  <si>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</si>
  <si>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</si>
  <si>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</si>
  <si>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</si>
  <si>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</si>
  <si>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</si>
  <si>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</si>
  <si>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</si>
  <si>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</si>
  <si>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</si>
  <si>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</si>
  <si>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</si>
  <si>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</si>
  <si>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</si>
  <si>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</si>
  <si>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</si>
  <si>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</si>
  <si>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</si>
  <si>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</si>
  <si>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</si>
  <si>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</si>
  <si>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</si>
  <si>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</si>
  <si>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</si>
  <si>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</si>
  <si>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</si>
  <si>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</si>
  <si>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</si>
  <si>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</si>
  <si>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</si>
  <si>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</si>
  <si>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</si>
  <si>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</si>
  <si>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</si>
  <si>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</si>
  <si>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</si>
  <si>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</si>
  <si>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</si>
  <si>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</si>
  <si>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</si>
  <si>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</si>
  <si>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</si>
  <si>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</si>
  <si>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</si>
  <si>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</si>
  <si>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</si>
  <si>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</si>
  <si>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</si>
  <si>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</si>
  <si>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</si>
  <si>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</si>
  <si>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</si>
  <si>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</si>
  <si>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</si>
  <si>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</si>
  <si>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</si>
  <si>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</si>
  <si>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</si>
  <si>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</si>
  <si>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</si>
  <si>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</si>
  <si>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</si>
  <si>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</si>
  <si>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</si>
  <si>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</si>
  <si>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</si>
  <si>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</si>
  <si>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</si>
  <si>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</si>
  <si>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</si>
  <si>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</si>
  <si>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</si>
  <si>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</si>
  <si>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</si>
  <si>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</si>
  <si>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</si>
  <si>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</si>
  <si>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</si>
  <si>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</si>
  <si>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</si>
  <si>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</si>
  <si>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</si>
  <si>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</si>
  <si>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</si>
  <si>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</si>
  <si>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</si>
  <si>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</si>
  <si>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</si>
  <si>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</si>
  <si>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</si>
  <si>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</si>
  <si>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</si>
  <si>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</si>
  <si>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</si>
  <si>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</si>
  <si>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</si>
  <si>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</si>
  <si>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支出合计</t>
  </si>
  <si>
    <t>表三</t>
  </si>
  <si>
    <t>2021年一般公共预算收支平衡表</t>
  </si>
  <si>
    <t>收入</t>
  </si>
  <si>
    <t>支出</t>
  </si>
  <si>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</si>
  <si>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</si>
  <si>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</si>
  <si>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</si>
  <si>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</si>
  <si>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</si>
  <si>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</si>
  <si>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</si>
  <si>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</si>
  <si>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</si>
  <si>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</si>
  <si>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</si>
  <si>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</si>
  <si>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</si>
  <si>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</si>
  <si>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</si>
  <si>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</si>
  <si>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</si>
  <si>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</si>
  <si>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</si>
  <si>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</si>
  <si>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</si>
  <si>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</si>
  <si>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</si>
  <si>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</si>
  <si>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</si>
  <si>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</si>
  <si>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</si>
  <si>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</si>
  <si>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</si>
  <si>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</si>
  <si>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</si>
  <si>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</si>
  <si>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</si>
  <si>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</si>
  <si>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</si>
  <si>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</si>
  <si>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</si>
  <si>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</si>
  <si>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</si>
  <si>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</si>
  <si>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</si>
  <si>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</si>
  <si>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</si>
  <si>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</si>
  <si>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</si>
  <si>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</si>
  <si>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</si>
  <si>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</si>
  <si>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</si>
  <si>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</si>
  <si>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</si>
  <si>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</si>
  <si>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</si>
  <si>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</si>
  <si>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</si>
  <si>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</si>
  <si>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</si>
  <si>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</si>
  <si>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</si>
  <si>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</si>
  <si>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</si>
  <si>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</si>
  <si>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</si>
  <si>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</si>
  <si>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</si>
  <si>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</si>
  <si>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</si>
  <si>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</si>
  <si>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</si>
  <si>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</si>
  <si>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</si>
  <si>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</si>
  <si>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</si>
  <si>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</si>
  <si>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</si>
  <si>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</si>
  <si>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</si>
  <si>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</si>
  <si>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</si>
  <si>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</si>
  <si>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</si>
  <si>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</si>
  <si>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</si>
  <si>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</si>
  <si>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</si>
  <si>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</si>
  <si>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</si>
  <si>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</si>
  <si>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</si>
  <si>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</si>
  <si>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表四</t>
  </si>
  <si>
    <t>2021年一般公共预算支出资金来源情况表</t>
  </si>
  <si>
    <t>合计</t>
  </si>
  <si>
    <t>财力安排</t>
  </si>
  <si>
    <t>专项转移支付收入安排</t>
  </si>
  <si>
    <t>动用上年结余安排</t>
  </si>
  <si>
    <t>调入资金</t>
  </si>
  <si>
    <t>政府债务资金</t>
  </si>
  <si>
    <t>其他资金</t>
  </si>
  <si>
    <t>二十一、预备费</t>
  </si>
  <si>
    <t>二十二、债务付息支出</t>
  </si>
  <si>
    <t xml:space="preserve">      地方政府一般债务付息支出</t>
  </si>
  <si>
    <t>二十三、债务发行费用支出</t>
  </si>
  <si>
    <t>二十四、其他支出</t>
  </si>
  <si>
    <t xml:space="preserve">      年初预留</t>
  </si>
  <si>
    <t xml:space="preserve">      其他支出</t>
  </si>
  <si>
    <t>表五</t>
  </si>
  <si>
    <t>2021年政府预算支出经济分类情况表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</si>
  <si>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</si>
  <si>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</si>
  <si>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</si>
  <si>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</si>
  <si>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</si>
  <si>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</si>
  <si>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</si>
  <si>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</si>
  <si>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</si>
  <si>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</si>
  <si>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</si>
  <si>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</si>
  <si>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</si>
  <si>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</si>
  <si>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</si>
  <si>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其他支出</t>
  </si>
  <si>
    <t>一、一般公共服务支出</t>
  </si>
  <si>
    <t>表六之一</t>
  </si>
  <si>
    <t>2021年地市县一般公共预算收支表</t>
  </si>
  <si>
    <t>2016年分地市县公共财政收支预算表</t>
  </si>
  <si>
    <t>地    区</t>
  </si>
  <si>
    <t>收       入</t>
  </si>
  <si>
    <t>税　　　　收　　　　收　　　　入</t>
  </si>
  <si>
    <t>非  税  收  入</t>
  </si>
  <si>
    <t>小计</t>
  </si>
  <si>
    <t>增值税</t>
  </si>
  <si>
    <t>企业_x000D_
所得税</t>
  </si>
  <si>
    <t>企业
所得税退税</t>
  </si>
  <si>
    <t>个人_x000D_
所得税</t>
  </si>
  <si>
    <t>资源税</t>
  </si>
  <si>
    <t>城市维护_x000D_
建设税</t>
  </si>
  <si>
    <t>房产税</t>
  </si>
  <si>
    <t>印花税</t>
  </si>
  <si>
    <t>城镇土地使用税</t>
  </si>
  <si>
    <t>土地增值税</t>
  </si>
  <si>
    <t>车船税</t>
  </si>
  <si>
    <t>耕地_x000D_
占用税</t>
  </si>
  <si>
    <t>契税</t>
  </si>
  <si>
    <t>烟叶税</t>
  </si>
  <si>
    <t>环境保护税</t>
  </si>
  <si>
    <t>其他各项_x000D_税收收入</t>
  </si>
  <si>
    <t>专项_x000D_
收入</t>
  </si>
  <si>
    <t>行政事_x000D_
业性收_x000D_
费收入</t>
  </si>
  <si>
    <t>罚没_x000D_
收入</t>
  </si>
  <si>
    <t>国有资本_x000D_经营收入</t>
  </si>
  <si>
    <t>国有资源_x000D_
（资产）有_x000D_
偿使用收入</t>
  </si>
  <si>
    <t>捐赠
收入</t>
  </si>
  <si>
    <t>政府住房基金收入</t>
  </si>
  <si>
    <t>其他_x000D_
收入</t>
  </si>
  <si>
    <t>本级</t>
  </si>
  <si>
    <t>区县级合计</t>
  </si>
  <si>
    <t>表六之二</t>
  </si>
  <si>
    <t>支            出</t>
  </si>
  <si>
    <t>支出
合计</t>
  </si>
  <si>
    <t>一般公共服务支出</t>
  </si>
  <si>
    <t>外交支出</t>
  </si>
  <si>
    <t>国防支出</t>
  </si>
  <si>
    <t>公共
安全支出</t>
  </si>
  <si>
    <t>教育支出</t>
  </si>
  <si>
    <t>科学
技术支出</t>
  </si>
  <si>
    <t>文化旅游体育与传媒支出</t>
  </si>
  <si>
    <t>社会保障和就业支出</t>
  </si>
  <si>
    <t>卫生健康支出</t>
  </si>
  <si>
    <t>节能环保支出</t>
  </si>
  <si>
    <t>城乡社区支出</t>
  </si>
  <si>
    <t>农林水支出</t>
  </si>
  <si>
    <t>交通
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</si>
  <si>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</si>
  <si>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</si>
  <si>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</si>
  <si>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</si>
  <si>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</si>
  <si>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</si>
  <si>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</si>
  <si>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</si>
  <si>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债务付息支出</t>
  </si>
  <si>
    <t>债务发行费用支出</t>
  </si>
  <si>
    <t>其他
支出</t>
  </si>
  <si>
    <t>表七之一</t>
  </si>
  <si>
    <t>2021年省对下一般公共预算转移支付预算表</t>
  </si>
  <si>
    <t>转移支付合计</t>
  </si>
  <si>
    <t>一          般              性                 转               移                 支            付</t>
  </si>
  <si>
    <t>一般性转移支付小计</t>
  </si>
  <si>
    <t>体制补助收入</t>
  </si>
  <si>
    <t>均衡性转移支付收入</t>
  </si>
  <si>
    <t>县级基本财力保障机制奖补资金收入</t>
  </si>
  <si>
    <t>结算补助收入</t>
  </si>
  <si>
    <t>资源枯竭型城市转移支付补助收入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</si>
  <si>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</si>
  <si>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</si>
  <si>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</si>
  <si>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</si>
  <si>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</si>
  <si>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</si>
  <si>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</si>
  <si>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贫困地区转移支付收入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</si>
  <si>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</si>
  <si>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</si>
  <si>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</si>
  <si>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</si>
  <si>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</si>
  <si>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</si>
  <si>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</si>
  <si>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</si>
  <si>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</si>
  <si>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</si>
  <si>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</si>
  <si>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</si>
  <si>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</si>
  <si>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</si>
  <si>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</si>
  <si>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</si>
  <si>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</si>
  <si>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</si>
  <si>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</si>
  <si>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</si>
  <si>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</si>
  <si>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</si>
  <si>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表七之二</t>
  </si>
  <si>
    <t>专                   项                 转               移                 支            付</t>
  </si>
  <si>
    <t>专项转移支付小计</t>
  </si>
  <si>
    <t>一般公共服务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</si>
  <si>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</si>
  <si>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</si>
  <si>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</si>
  <si>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</si>
  <si>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</si>
  <si>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</si>
  <si>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</si>
  <si>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</si>
  <si>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</si>
  <si>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</si>
  <si>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</si>
  <si>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</si>
  <si>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</si>
  <si>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</si>
  <si>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</si>
  <si>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</si>
  <si>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</si>
  <si>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</si>
  <si>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</si>
  <si>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</si>
  <si>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表八</t>
  </si>
  <si>
    <t>2021年政府性基金预算收支表</t>
  </si>
  <si>
    <t>一、农网还贷资金收入</t>
  </si>
  <si>
    <t>一、文化旅游体育与传媒支出</t>
  </si>
  <si>
    <t>二、海南省高等级公路车辆通行附加费收入</t>
  </si>
  <si>
    <t xml:space="preserve">   国家电影事业发展专项资金安排的支出</t>
  </si>
  <si>
    <t>三、港口建设费收入</t>
  </si>
  <si>
    <t xml:space="preserve">   旅游发展基金支出</t>
  </si>
  <si>
    <t>四、国家电影事业发展专项资金收入</t>
  </si>
  <si>
    <t xml:space="preserve">   国家电影事业发展专项资金对应专项债务收入安排的支出</t>
  </si>
  <si>
    <t>五、国有土地收益基金收入</t>
  </si>
  <si>
    <t>二、社会保障和就业支出</t>
  </si>
  <si>
    <t>六、农业土地开发资金收入</t>
  </si>
  <si>
    <t xml:space="preserve">    大中型水库移民后期扶持基金支出</t>
  </si>
  <si>
    <t>七、国有土地使用权出让收入</t>
  </si>
  <si>
    <t xml:space="preserve">    小型水库移民扶助基金安排的支出</t>
  </si>
  <si>
    <t>八、大中型水库库区基金收入</t>
  </si>
  <si>
    <t xml:space="preserve">    小型水库移民扶助基金对应专项债务收入安排的支出</t>
  </si>
  <si>
    <t>九、彩票公益金收入</t>
  </si>
  <si>
    <t>三、节能环保支出</t>
  </si>
  <si>
    <t>十、城市基础设施配套费收入</t>
  </si>
  <si>
    <t xml:space="preserve">    可再生能源电价附加收入安排的支出</t>
  </si>
  <si>
    <t>十一、小型水库移民扶助基金收入</t>
  </si>
  <si>
    <t xml:space="preserve">    废弃电器电子产品处理基金支出</t>
  </si>
  <si>
    <t>十二、国家重大水利工程建设基金收入</t>
  </si>
  <si>
    <t>四、城乡社区支出</t>
  </si>
  <si>
    <t>十三、车辆通行费</t>
  </si>
  <si>
    <t xml:space="preserve">    国有土地使用权出让收入安排的支出</t>
  </si>
  <si>
    <t>十四、污水处理费收入</t>
  </si>
  <si>
    <t xml:space="preserve">    国有土地收益基金安排的支出</t>
  </si>
  <si>
    <t>十五、彩票发行机构和彩票销售机构的业务费用</t>
  </si>
  <si>
    <t xml:space="preserve">    农业土地开发资金安排的支出</t>
  </si>
  <si>
    <t>十六、其他政府性基金收入</t>
  </si>
  <si>
    <t xml:space="preserve">    城市基础设施配套费安排的支出</t>
  </si>
  <si>
    <t>十七、专项债券对应项目专项收入</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</si>
  <si>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</si>
  <si>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</si>
  <si>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</si>
  <si>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</si>
  <si>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</si>
  <si>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</si>
  <si>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</si>
  <si>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</si>
  <si>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</si>
  <si>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</si>
  <si>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</si>
  <si>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</si>
  <si>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</si>
  <si>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</si>
  <si>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</si>
  <si>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</si>
  <si>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</si>
  <si>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</si>
  <si>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</si>
  <si>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</si>
  <si>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</si>
  <si>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</si>
  <si>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</si>
  <si>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</si>
  <si>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</si>
  <si>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</si>
  <si>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</si>
  <si>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</si>
  <si>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</si>
  <si>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</si>
  <si>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</si>
  <si>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十一、抗疫特别国债安排的支出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</si>
  <si>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</si>
  <si>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</si>
  <si>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</si>
  <si>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</si>
  <si>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</si>
  <si>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</si>
  <si>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调出资金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</si>
  <si>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</si>
  <si>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</si>
  <si>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</si>
  <si>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</si>
  <si>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</si>
  <si>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</si>
  <si>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表九</t>
  </si>
  <si>
    <t>2021年政府性基金预算收支明细表</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</si>
  <si>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</si>
  <si>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</si>
  <si>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</si>
  <si>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</si>
  <si>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</si>
  <si>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土地出让价款收入</t>
  </si>
  <si>
    <t xml:space="preserve">  补缴的土地价款</t>
  </si>
  <si>
    <t xml:space="preserve">      宣传促销</t>
  </si>
  <si>
    <t xml:space="preserve">  划拨土地收入</t>
  </si>
  <si>
    <t xml:space="preserve">      行业规划</t>
  </si>
  <si>
    <t xml:space="preserve">  缴纳新增建设用地土地有偿使用费</t>
  </si>
  <si>
    <t xml:space="preserve">      旅游事业补助</t>
  </si>
  <si>
    <t xml:space="preserve">  其他土地出让收入</t>
  </si>
  <si>
    <t xml:space="preserve">      地方旅游开发项目补助</t>
  </si>
  <si>
    <t xml:space="preserve">      其他旅游发展基金支出 </t>
  </si>
  <si>
    <t xml:space="preserve">  福利彩票公益金收入</t>
  </si>
  <si>
    <t xml:space="preserve">      资助城市影院</t>
  </si>
  <si>
    <t xml:space="preserve">  体育彩票公益金收入</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</si>
  <si>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</si>
  <si>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</si>
  <si>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</si>
  <si>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</si>
  <si>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福利彩票销售机构的业务费用</t>
  </si>
  <si>
    <t xml:space="preserve">  体育彩票销售机构的业务费用</t>
  </si>
  <si>
    <t xml:space="preserve">  彩票兑奖周转金</t>
  </si>
  <si>
    <t xml:space="preserve">      其他小型水库移民扶助基金支出</t>
  </si>
  <si>
    <t xml:space="preserve">  彩票发行销售风险基金</t>
  </si>
  <si>
    <t xml:space="preserve">  彩票市场调控资金收入</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</si>
  <si>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</si>
  <si>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</si>
  <si>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</si>
  <si>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</si>
  <si>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</si>
  <si>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</si>
  <si>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</si>
  <si>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</si>
  <si>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</si>
  <si>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</si>
  <si>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</si>
  <si>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</si>
  <si>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</si>
  <si>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</si>
  <si>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</si>
  <si>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</si>
  <si>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</si>
  <si>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</si>
  <si>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</si>
  <si>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</si>
  <si>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</si>
  <si>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</si>
  <si>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</si>
  <si>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</si>
  <si>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</si>
  <si>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</si>
  <si>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</si>
  <si>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</si>
  <si>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</si>
  <si>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</si>
  <si>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</si>
  <si>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</si>
  <si>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</si>
  <si>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</si>
  <si>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其他国有土地使用权出让收入对应专项债务收入安排的支出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</si>
  <si>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</si>
  <si>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</si>
  <si>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</si>
  <si>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</si>
  <si>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</si>
  <si>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</si>
  <si>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</si>
  <si>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</si>
  <si>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</si>
  <si>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</si>
  <si>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</si>
  <si>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</si>
  <si>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</si>
  <si>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</si>
  <si>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</si>
  <si>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</si>
  <si>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</si>
  <si>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</si>
  <si>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</si>
  <si>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</si>
  <si>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</si>
  <si>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</si>
  <si>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</si>
  <si>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</si>
  <si>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</si>
  <si>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</si>
  <si>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</si>
  <si>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</si>
  <si>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</si>
  <si>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</si>
  <si>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</si>
  <si>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</si>
  <si>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</si>
  <si>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</si>
  <si>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</si>
  <si>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</si>
  <si>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</si>
  <si>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</si>
  <si>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</si>
  <si>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</si>
  <si>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地方农网还贷资金支出</t>
  </si>
  <si>
    <t xml:space="preserve">      其他农网还贷资金支出</t>
  </si>
  <si>
    <t xml:space="preserve">      其他政府性基金安排的支出</t>
  </si>
  <si>
    <t xml:space="preserve">      其他地方自行试点项目收益专项债券收入安排的支出</t>
  </si>
  <si>
    <t xml:space="preserve">      其他政府性基金债务收入安排的支出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</si>
  <si>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</si>
  <si>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</si>
  <si>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</si>
  <si>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</si>
  <si>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</si>
  <si>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</si>
  <si>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</si>
  <si>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</si>
  <si>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</si>
  <si>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</si>
  <si>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</si>
  <si>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</si>
  <si>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</si>
  <si>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</si>
  <si>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</si>
  <si>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</si>
  <si>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</si>
  <si>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</si>
  <si>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</si>
  <si>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</si>
  <si>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</si>
  <si>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</si>
  <si>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</si>
  <si>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</si>
  <si>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</si>
  <si>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</si>
  <si>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</si>
  <si>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</si>
  <si>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</si>
  <si>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</si>
  <si>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</si>
  <si>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</si>
  <si>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</si>
  <si>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</si>
  <si>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</si>
  <si>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</si>
  <si>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</si>
  <si>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</si>
  <si>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</si>
  <si>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</si>
  <si>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</si>
  <si>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</si>
  <si>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</si>
  <si>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</si>
  <si>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</si>
  <si>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</si>
  <si>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</si>
  <si>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</si>
  <si>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</si>
  <si>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</si>
  <si>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</si>
  <si>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</si>
  <si>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</si>
  <si>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</si>
  <si>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</si>
  <si>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</si>
  <si>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</si>
  <si>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</si>
  <si>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</si>
  <si>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</si>
  <si>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</si>
  <si>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</si>
  <si>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</si>
  <si>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</si>
  <si>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</si>
  <si>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</si>
  <si>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</si>
  <si>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表十</t>
  </si>
  <si>
    <t>2021年政府性基金调入专项收入预算表</t>
  </si>
  <si>
    <t>表十一</t>
  </si>
  <si>
    <t>2021年政府性基金预算支出资金来源情况表</t>
  </si>
  <si>
    <t>当年预算收入安排</t>
  </si>
  <si>
    <t>转移支付收入安排</t>
  </si>
  <si>
    <t>上年结余</t>
  </si>
  <si>
    <t>乌鲁木齐市</t>
    <phoneticPr fontId="14" type="noConversion"/>
  </si>
  <si>
    <t>区县级合计</t>
    <phoneticPr fontId="14" type="noConversion"/>
  </si>
  <si>
    <t>乌鲁木齐县</t>
    <phoneticPr fontId="14" type="noConversion"/>
  </si>
  <si>
    <t>天山区</t>
    <phoneticPr fontId="14" type="noConversion"/>
  </si>
  <si>
    <t>沙依巴克区</t>
    <phoneticPr fontId="14" type="noConversion"/>
  </si>
  <si>
    <t>水磨沟区</t>
    <phoneticPr fontId="14" type="noConversion"/>
  </si>
  <si>
    <t>米东区</t>
  </si>
  <si>
    <t>达坂城区</t>
  </si>
  <si>
    <t>高新区（新市区）</t>
  </si>
  <si>
    <t>经开区（头屯河区）</t>
  </si>
  <si>
    <t>甘泉堡开发区</t>
  </si>
  <si>
    <t>克拉玛依市</t>
  </si>
  <si>
    <t>市本级</t>
  </si>
  <si>
    <t>克拉玛依区</t>
  </si>
  <si>
    <t>独山子区</t>
  </si>
  <si>
    <t>白碱滩区</t>
  </si>
  <si>
    <t>乌尔禾区</t>
  </si>
  <si>
    <t>伊犁州</t>
  </si>
  <si>
    <t>州本级</t>
  </si>
  <si>
    <t>都拉塔口岸</t>
  </si>
  <si>
    <t>伊宁市</t>
  </si>
  <si>
    <t>奎屯市</t>
  </si>
  <si>
    <t>霍尔果斯市</t>
  </si>
  <si>
    <t>伊宁县</t>
  </si>
  <si>
    <t>察布查尔县</t>
  </si>
  <si>
    <t>霍城县</t>
  </si>
  <si>
    <t>尼勒克县</t>
  </si>
  <si>
    <t>巩留县</t>
  </si>
  <si>
    <t>新源县</t>
  </si>
  <si>
    <t>特克斯县</t>
  </si>
  <si>
    <t>昭苏县</t>
  </si>
  <si>
    <t>塔城地区</t>
  </si>
  <si>
    <t>塔城市</t>
  </si>
  <si>
    <t>额敏县</t>
  </si>
  <si>
    <t>乌苏市</t>
  </si>
  <si>
    <t>沙湾县</t>
  </si>
  <si>
    <t>托里县</t>
  </si>
  <si>
    <t>裕民县</t>
  </si>
  <si>
    <t>和布克赛尔县</t>
  </si>
  <si>
    <t>阿勒泰市</t>
  </si>
  <si>
    <t>布尔津县</t>
  </si>
  <si>
    <t>哈巴河县</t>
  </si>
  <si>
    <t>吉木乃县</t>
  </si>
  <si>
    <t>福海县</t>
  </si>
  <si>
    <t>富蕴县</t>
  </si>
  <si>
    <t>青河县</t>
  </si>
  <si>
    <t>博乐市</t>
  </si>
  <si>
    <t>精河县</t>
  </si>
  <si>
    <t>温泉县</t>
  </si>
  <si>
    <t>阿拉山口市</t>
  </si>
  <si>
    <t>轮台县</t>
  </si>
  <si>
    <t>尉犁县</t>
  </si>
  <si>
    <t>且末县</t>
  </si>
  <si>
    <t>焉耆县</t>
  </si>
  <si>
    <t>和硕县</t>
  </si>
  <si>
    <t>纺织城</t>
  </si>
  <si>
    <t>阿克苏市</t>
  </si>
  <si>
    <t>库车市</t>
  </si>
  <si>
    <t>拜城县</t>
  </si>
  <si>
    <t>新和县</t>
  </si>
  <si>
    <t>沙雅县</t>
  </si>
  <si>
    <t>温宿县</t>
  </si>
  <si>
    <t>乌什县</t>
  </si>
  <si>
    <t>阿瓦提县</t>
  </si>
  <si>
    <t>柯坪县</t>
  </si>
  <si>
    <t>克州</t>
  </si>
  <si>
    <t>阿图什市</t>
  </si>
  <si>
    <t>阿克陶县</t>
  </si>
  <si>
    <t>乌恰县</t>
  </si>
  <si>
    <t>阿合奇县</t>
  </si>
  <si>
    <t>喀什地区</t>
  </si>
  <si>
    <t>喀什市</t>
  </si>
  <si>
    <t>疏附县</t>
  </si>
  <si>
    <t>疏勒县</t>
  </si>
  <si>
    <t>英吉沙县</t>
  </si>
  <si>
    <t>泽普县</t>
  </si>
  <si>
    <t>莎车县</t>
  </si>
  <si>
    <t>叶城县</t>
  </si>
  <si>
    <t>麦盖提县</t>
  </si>
  <si>
    <t>岳普湖县</t>
  </si>
  <si>
    <t>伽师县</t>
  </si>
  <si>
    <t>巴楚县</t>
  </si>
  <si>
    <t>塔什库尔干县</t>
  </si>
  <si>
    <t>和田市</t>
  </si>
  <si>
    <t>和田县</t>
  </si>
  <si>
    <t>墨玉县</t>
  </si>
  <si>
    <t>皮山县</t>
  </si>
  <si>
    <t>洛浦县</t>
  </si>
  <si>
    <t>策勒县</t>
  </si>
  <si>
    <t>于田县</t>
  </si>
  <si>
    <t>民丰县</t>
  </si>
  <si>
    <t>高昌区</t>
  </si>
  <si>
    <t>鄯善县</t>
  </si>
  <si>
    <t>托克逊县</t>
  </si>
  <si>
    <t>巴里坤县</t>
  </si>
  <si>
    <t>新疆维吾尔自治区</t>
    <phoneticPr fontId="14" type="noConversion"/>
  </si>
  <si>
    <t>本级</t>
    <phoneticPr fontId="14" type="noConversion"/>
  </si>
  <si>
    <t>哈密市</t>
    <phoneticPr fontId="14" type="noConversion"/>
  </si>
  <si>
    <t>伊州区</t>
    <phoneticPr fontId="14" type="noConversion"/>
  </si>
  <si>
    <t>伊吾县</t>
    <phoneticPr fontId="14" type="noConversion"/>
  </si>
  <si>
    <t>昌吉州</t>
    <phoneticPr fontId="14" type="noConversion"/>
  </si>
  <si>
    <t>州本级</t>
    <phoneticPr fontId="14" type="noConversion"/>
  </si>
  <si>
    <t>玛纳斯县</t>
    <phoneticPr fontId="14" type="noConversion"/>
  </si>
  <si>
    <t>呼图壁县</t>
    <phoneticPr fontId="14" type="noConversion"/>
  </si>
  <si>
    <t>昌吉市</t>
    <phoneticPr fontId="14" type="noConversion"/>
  </si>
  <si>
    <t>阜康市</t>
    <phoneticPr fontId="14" type="noConversion"/>
  </si>
  <si>
    <t>吉木萨尔县</t>
    <phoneticPr fontId="14" type="noConversion"/>
  </si>
  <si>
    <t>奇台县</t>
    <phoneticPr fontId="14" type="noConversion"/>
  </si>
  <si>
    <t>木垒县</t>
    <phoneticPr fontId="14" type="noConversion"/>
  </si>
  <si>
    <t>农业园区</t>
    <phoneticPr fontId="14" type="noConversion"/>
  </si>
  <si>
    <t>准东开发区</t>
    <phoneticPr fontId="14" type="noConversion"/>
  </si>
  <si>
    <t>本级</t>
    <phoneticPr fontId="14" type="noConversion"/>
  </si>
  <si>
    <t>开发区</t>
    <phoneticPr fontId="14" type="noConversion"/>
  </si>
  <si>
    <t>库尔勒市</t>
    <phoneticPr fontId="14" type="noConversion"/>
  </si>
  <si>
    <t>若羌县</t>
    <phoneticPr fontId="14" type="noConversion"/>
  </si>
  <si>
    <t>和静县</t>
    <phoneticPr fontId="14" type="noConversion"/>
  </si>
  <si>
    <t>博湖县</t>
    <phoneticPr fontId="14" type="noConversion"/>
  </si>
  <si>
    <t>和田地区</t>
    <phoneticPr fontId="14" type="noConversion"/>
  </si>
  <si>
    <t xml:space="preserve">  自治区本级</t>
    <phoneticPr fontId="14" type="noConversion"/>
  </si>
  <si>
    <t xml:space="preserve">  地（市）合计</t>
    <phoneticPr fontId="14" type="noConversion"/>
  </si>
  <si>
    <t>阿勒泰地区</t>
    <phoneticPr fontId="14" type="noConversion"/>
  </si>
  <si>
    <t>博州</t>
    <phoneticPr fontId="14" type="noConversion"/>
  </si>
  <si>
    <t>巴州</t>
    <phoneticPr fontId="14" type="noConversion"/>
  </si>
  <si>
    <t>阿克地区</t>
    <phoneticPr fontId="14" type="noConversion"/>
  </si>
  <si>
    <t>本级</t>
    <phoneticPr fontId="14" type="noConversion"/>
  </si>
  <si>
    <t>吐鲁番市</t>
    <phoneticPr fontId="14" type="noConversion"/>
  </si>
  <si>
    <t>阿勒泰地区</t>
    <phoneticPr fontId="14" type="noConversion"/>
  </si>
  <si>
    <t>博州</t>
    <phoneticPr fontId="14" type="noConversion"/>
  </si>
  <si>
    <t>昌吉州</t>
    <phoneticPr fontId="14" type="noConversion"/>
  </si>
  <si>
    <t>州本级</t>
    <phoneticPr fontId="14" type="noConversion"/>
  </si>
  <si>
    <t>玛纳斯县</t>
    <phoneticPr fontId="14" type="noConversion"/>
  </si>
  <si>
    <t>若羌县</t>
    <phoneticPr fontId="14" type="noConversion"/>
  </si>
  <si>
    <t>和静县</t>
    <phoneticPr fontId="14" type="noConversion"/>
  </si>
  <si>
    <t>博湖县</t>
    <phoneticPr fontId="14" type="noConversion"/>
  </si>
  <si>
    <t>阿克地区</t>
    <phoneticPr fontId="14" type="noConversion"/>
  </si>
  <si>
    <t>本级</t>
    <phoneticPr fontId="14" type="noConversion"/>
  </si>
  <si>
    <t>和田地区</t>
    <phoneticPr fontId="14" type="noConversion"/>
  </si>
  <si>
    <t>吐鲁番市</t>
    <phoneticPr fontId="14" type="noConversion"/>
  </si>
  <si>
    <t>哈密市</t>
    <phoneticPr fontId="14" type="noConversion"/>
  </si>
  <si>
    <t>伊州区</t>
    <phoneticPr fontId="14" type="noConversion"/>
  </si>
  <si>
    <t>伊吾县</t>
    <phoneticPr fontId="14" type="noConversion"/>
  </si>
  <si>
    <t>呼图壁县</t>
    <phoneticPr fontId="14" type="noConversion"/>
  </si>
  <si>
    <t>昌吉市</t>
    <phoneticPr fontId="14" type="noConversion"/>
  </si>
  <si>
    <t>阜康市</t>
    <phoneticPr fontId="14" type="noConversion"/>
  </si>
  <si>
    <t>吉木萨尔县</t>
    <phoneticPr fontId="14" type="noConversion"/>
  </si>
  <si>
    <t>奇台县</t>
    <phoneticPr fontId="14" type="noConversion"/>
  </si>
  <si>
    <t>木垒县</t>
    <phoneticPr fontId="14" type="noConversion"/>
  </si>
  <si>
    <t>农业园区</t>
    <phoneticPr fontId="14" type="noConversion"/>
  </si>
  <si>
    <t>准东开发区</t>
    <phoneticPr fontId="14" type="noConversion"/>
  </si>
  <si>
    <t>巴州</t>
    <phoneticPr fontId="14" type="noConversion"/>
  </si>
  <si>
    <t>开发区</t>
    <phoneticPr fontId="14" type="noConversion"/>
  </si>
  <si>
    <t>库尔勒市</t>
    <phoneticPr fontId="14" type="noConversion"/>
  </si>
  <si>
    <t>新疆维吾尔自治区</t>
    <phoneticPr fontId="14" type="noConversion"/>
  </si>
  <si>
    <t xml:space="preserve">  自治区本级</t>
    <phoneticPr fontId="14" type="noConversion"/>
  </si>
  <si>
    <t xml:space="preserve">  地（市）合计</t>
    <phoneticPr fontId="14" type="noConversion"/>
  </si>
  <si>
    <t>乌鲁木齐市</t>
    <phoneticPr fontId="14" type="noConversion"/>
  </si>
  <si>
    <t>区县级合计</t>
    <phoneticPr fontId="14" type="noConversion"/>
  </si>
  <si>
    <t>乌鲁木齐县</t>
    <phoneticPr fontId="14" type="noConversion"/>
  </si>
  <si>
    <t>天山区</t>
    <phoneticPr fontId="14" type="noConversion"/>
  </si>
  <si>
    <t>沙依巴克区</t>
    <phoneticPr fontId="14" type="noConversion"/>
  </si>
  <si>
    <t>水磨沟区</t>
    <phoneticPr fontId="14" type="noConversion"/>
  </si>
  <si>
    <t>阿勒泰地区</t>
    <phoneticPr fontId="14" type="noConversion"/>
  </si>
  <si>
    <t>博州</t>
    <phoneticPr fontId="14" type="noConversion"/>
  </si>
  <si>
    <t>昌吉州</t>
    <phoneticPr fontId="14" type="noConversion"/>
  </si>
  <si>
    <t>州本级</t>
    <phoneticPr fontId="14" type="noConversion"/>
  </si>
  <si>
    <t>玛纳斯县</t>
    <phoneticPr fontId="14" type="noConversion"/>
  </si>
  <si>
    <t>呼图壁县</t>
    <phoneticPr fontId="14" type="noConversion"/>
  </si>
  <si>
    <t>昌吉市</t>
    <phoneticPr fontId="14" type="noConversion"/>
  </si>
  <si>
    <t>阜康市</t>
    <phoneticPr fontId="14" type="noConversion"/>
  </si>
  <si>
    <t>吉木萨尔县</t>
    <phoneticPr fontId="14" type="noConversion"/>
  </si>
  <si>
    <t>奇台县</t>
    <phoneticPr fontId="14" type="noConversion"/>
  </si>
  <si>
    <t>木垒县</t>
    <phoneticPr fontId="14" type="noConversion"/>
  </si>
  <si>
    <t>农业园区</t>
    <phoneticPr fontId="14" type="noConversion"/>
  </si>
  <si>
    <t>准东开发区</t>
    <phoneticPr fontId="14" type="noConversion"/>
  </si>
  <si>
    <t>巴州</t>
    <phoneticPr fontId="14" type="noConversion"/>
  </si>
  <si>
    <t>本级</t>
    <phoneticPr fontId="14" type="noConversion"/>
  </si>
  <si>
    <t>开发区</t>
    <phoneticPr fontId="14" type="noConversion"/>
  </si>
  <si>
    <t>库尔勒市</t>
    <phoneticPr fontId="14" type="noConversion"/>
  </si>
  <si>
    <t>若羌县</t>
    <phoneticPr fontId="14" type="noConversion"/>
  </si>
  <si>
    <t>和静县</t>
    <phoneticPr fontId="14" type="noConversion"/>
  </si>
  <si>
    <t>博湖县</t>
    <phoneticPr fontId="14" type="noConversion"/>
  </si>
  <si>
    <t>阿克地区</t>
    <phoneticPr fontId="14" type="noConversion"/>
  </si>
  <si>
    <t>本级</t>
    <phoneticPr fontId="14" type="noConversion"/>
  </si>
  <si>
    <t>和田地区</t>
    <phoneticPr fontId="14" type="noConversion"/>
  </si>
  <si>
    <t>吐鲁番市</t>
    <phoneticPr fontId="14" type="noConversion"/>
  </si>
  <si>
    <t>哈密市</t>
    <phoneticPr fontId="14" type="noConversion"/>
  </si>
  <si>
    <t>伊州区</t>
    <phoneticPr fontId="14" type="noConversion"/>
  </si>
  <si>
    <t>伊吾县</t>
    <phoneticPr fontId="14" type="noConversion"/>
  </si>
</sst>
</file>

<file path=xl/styles.xml><?xml version="1.0" encoding="utf-8"?>
<styleSheet xmlns="http://schemas.openxmlformats.org/spreadsheetml/2006/main">
  <numFmts count="7">
    <numFmt numFmtId="43" formatCode="_ * #,##0.00_ ;_ * \-#,##0.00_ ;_ * &quot;-&quot;??_ ;_ @_ "/>
    <numFmt numFmtId="176" formatCode="0_ "/>
    <numFmt numFmtId="177" formatCode="0.0_ "/>
    <numFmt numFmtId="178" formatCode="#,##0_ "/>
    <numFmt numFmtId="179" formatCode="_ * #,##0_ ;_ * \-#,##0_ ;_ * &quot;-&quot;??_ ;_ @_ "/>
    <numFmt numFmtId="180" formatCode="#,##0_);[Red]\(#,##0\)"/>
    <numFmt numFmtId="181" formatCode="0_);[Red]\(0\)"/>
  </numFmts>
  <fonts count="35">
    <font>
      <sz val="12"/>
      <name val="宋体"/>
      <charset val="134"/>
    </font>
    <font>
      <b/>
      <sz val="16"/>
      <name val="黑体"/>
      <family val="3"/>
      <charset val="134"/>
    </font>
    <font>
      <sz val="11"/>
      <name val="宋体"/>
      <family val="3"/>
      <charset val="134"/>
      <scheme val="minor"/>
    </font>
    <font>
      <b/>
      <sz val="11"/>
      <name val="宋体"/>
      <family val="3"/>
      <charset val="134"/>
      <scheme val="minor"/>
    </font>
    <font>
      <sz val="12"/>
      <name val="黑体"/>
      <family val="3"/>
      <charset val="134"/>
    </font>
    <font>
      <sz val="11"/>
      <color theme="1"/>
      <name val="宋体"/>
      <family val="3"/>
      <charset val="134"/>
      <scheme val="minor"/>
    </font>
    <font>
      <sz val="11"/>
      <color rgb="FFFF0000"/>
      <name val="宋体"/>
      <family val="3"/>
      <charset val="134"/>
      <scheme val="minor"/>
    </font>
    <font>
      <sz val="16"/>
      <name val="黑体"/>
      <family val="3"/>
      <charset val="134"/>
    </font>
    <font>
      <sz val="14"/>
      <name val="宋体"/>
      <family val="3"/>
      <charset val="134"/>
    </font>
    <font>
      <b/>
      <sz val="24"/>
      <name val="黑体"/>
      <family val="3"/>
      <charset val="134"/>
    </font>
    <font>
      <sz val="18"/>
      <name val="黑体"/>
      <family val="3"/>
      <charset val="134"/>
    </font>
    <font>
      <sz val="16"/>
      <name val="楷体_GB2312"/>
      <family val="3"/>
      <charset val="134"/>
    </font>
    <font>
      <sz val="48"/>
      <name val="黑体"/>
      <family val="3"/>
      <charset val="134"/>
    </font>
    <font>
      <sz val="22"/>
      <name val="楷体_GB2312"/>
      <family val="3"/>
      <charset val="134"/>
    </font>
    <font>
      <sz val="9"/>
      <name val="宋体"/>
      <family val="3"/>
      <charset val="134"/>
    </font>
    <font>
      <sz val="12"/>
      <name val="宋体"/>
      <family val="3"/>
      <charset val="134"/>
    </font>
    <font>
      <sz val="11"/>
      <color theme="1"/>
      <name val="宋体"/>
      <family val="3"/>
      <charset val="134"/>
      <scheme val="minor"/>
    </font>
    <font>
      <sz val="11"/>
      <name val="宋体"/>
      <family val="3"/>
      <charset val="134"/>
    </font>
    <font>
      <sz val="12"/>
      <name val="宋体"/>
      <family val="3"/>
      <charset val="134"/>
    </font>
    <font>
      <sz val="10"/>
      <name val="宋体"/>
      <family val="3"/>
      <charset val="134"/>
    </font>
    <font>
      <sz val="11"/>
      <color theme="1"/>
      <name val="宋体"/>
      <family val="3"/>
      <charset val="134"/>
    </font>
    <font>
      <b/>
      <sz val="11"/>
      <name val="宋体"/>
      <family val="3"/>
      <charset val="134"/>
    </font>
    <font>
      <sz val="10"/>
      <color indexed="10"/>
      <name val="宋体"/>
      <family val="3"/>
      <charset val="134"/>
    </font>
    <font>
      <b/>
      <sz val="9"/>
      <name val="宋体"/>
      <family val="3"/>
      <charset val="134"/>
    </font>
    <font>
      <sz val="9"/>
      <name val="宋体"/>
      <family val="3"/>
      <charset val="134"/>
      <scheme val="minor"/>
    </font>
    <font>
      <sz val="10"/>
      <name val="宋体"/>
      <family val="3"/>
      <charset val="134"/>
      <scheme val="minor"/>
    </font>
    <font>
      <sz val="10"/>
      <color rgb="FFFF0000"/>
      <name val="宋体"/>
      <family val="3"/>
      <charset val="134"/>
      <scheme val="minor"/>
    </font>
    <font>
      <sz val="10"/>
      <color rgb="FFFF0000"/>
      <name val="宋体"/>
      <family val="3"/>
      <charset val="134"/>
    </font>
    <font>
      <sz val="10"/>
      <color theme="1"/>
      <name val="宋体"/>
      <family val="3"/>
      <charset val="134"/>
    </font>
    <font>
      <sz val="10"/>
      <color theme="1"/>
      <name val="宋体"/>
      <family val="3"/>
      <charset val="134"/>
      <scheme val="minor"/>
    </font>
    <font>
      <sz val="11"/>
      <name val="宋体"/>
      <charset val="134"/>
    </font>
    <font>
      <b/>
      <sz val="10"/>
      <name val="宋体"/>
      <family val="3"/>
      <charset val="134"/>
    </font>
    <font>
      <sz val="12"/>
      <color theme="1"/>
      <name val="黑体"/>
      <family val="3"/>
      <charset val="134"/>
    </font>
    <font>
      <b/>
      <sz val="16"/>
      <color theme="1"/>
      <name val="黑体"/>
      <family val="3"/>
      <charset val="134"/>
    </font>
    <font>
      <sz val="10"/>
      <color theme="1"/>
      <name val="黑体"/>
      <family val="3"/>
      <charset val="134"/>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9" fontId="15" fillId="0" borderId="0" applyFont="0" applyFill="0" applyBorder="0" applyAlignment="0" applyProtection="0">
      <alignment vertical="center"/>
    </xf>
    <xf numFmtId="0" fontId="15" fillId="0" borderId="0">
      <alignment vertical="center"/>
    </xf>
    <xf numFmtId="0" fontId="15" fillId="0" borderId="0"/>
    <xf numFmtId="0" fontId="15" fillId="0" borderId="0"/>
    <xf numFmtId="0" fontId="15" fillId="0" borderId="0">
      <alignment vertical="center"/>
    </xf>
    <xf numFmtId="0" fontId="15" fillId="0" borderId="0">
      <alignment vertical="center"/>
    </xf>
    <xf numFmtId="0" fontId="14" fillId="0" borderId="0"/>
    <xf numFmtId="43" fontId="15" fillId="0" borderId="0" applyFont="0" applyFill="0" applyBorder="0" applyAlignment="0" applyProtection="0">
      <alignment vertical="center"/>
    </xf>
    <xf numFmtId="0" fontId="15" fillId="0" borderId="0"/>
    <xf numFmtId="0" fontId="15" fillId="0" borderId="0"/>
  </cellStyleXfs>
  <cellXfs count="393">
    <xf numFmtId="0" fontId="0" fillId="0" borderId="0" xfId="0"/>
    <xf numFmtId="0" fontId="1" fillId="0" borderId="0" xfId="0" applyFont="1" applyFill="1"/>
    <xf numFmtId="0" fontId="3" fillId="0" borderId="0" xfId="0" applyFont="1" applyFill="1" applyAlignment="1">
      <alignment vertical="center"/>
    </xf>
    <xf numFmtId="0" fontId="2" fillId="0" borderId="0" xfId="0" applyFont="1" applyFill="1"/>
    <xf numFmtId="0" fontId="4" fillId="0" borderId="0" xfId="0" applyFont="1" applyFill="1"/>
    <xf numFmtId="0" fontId="3" fillId="0" borderId="3" xfId="0" applyFont="1" applyFill="1" applyBorder="1" applyAlignment="1">
      <alignment horizontal="center" vertical="center"/>
    </xf>
    <xf numFmtId="3" fontId="2" fillId="2" borderId="1" xfId="0" applyNumberFormat="1" applyFont="1" applyFill="1" applyBorder="1" applyAlignment="1" applyProtection="1">
      <alignment vertical="center"/>
    </xf>
    <xf numFmtId="0" fontId="2" fillId="0" borderId="1" xfId="0" applyFont="1" applyFill="1" applyBorder="1" applyAlignment="1">
      <alignment vertical="center"/>
    </xf>
    <xf numFmtId="3" fontId="2" fillId="2" borderId="1" xfId="0" applyNumberFormat="1" applyFont="1" applyFill="1" applyBorder="1" applyAlignment="1" applyProtection="1">
      <alignment horizontal="left" vertical="center"/>
    </xf>
    <xf numFmtId="0" fontId="2" fillId="0" borderId="1" xfId="0" applyFont="1" applyBorder="1" applyAlignment="1">
      <alignment horizontal="left" vertical="center"/>
    </xf>
    <xf numFmtId="0" fontId="2" fillId="0" borderId="1" xfId="2" applyFont="1" applyFill="1" applyBorder="1" applyAlignment="1">
      <alignment vertical="center" wrapText="1"/>
    </xf>
    <xf numFmtId="3" fontId="2" fillId="0" borderId="1" xfId="0" applyNumberFormat="1" applyFont="1" applyFill="1" applyBorder="1" applyAlignment="1" applyProtection="1">
      <alignment horizontal="left" vertical="center"/>
    </xf>
    <xf numFmtId="0" fontId="2" fillId="0" borderId="1" xfId="0" applyFont="1" applyFill="1" applyBorder="1"/>
    <xf numFmtId="0" fontId="3" fillId="0" borderId="1" xfId="0" applyFont="1" applyFill="1" applyBorder="1" applyAlignment="1">
      <alignment horizontal="distributed" vertical="center"/>
    </xf>
    <xf numFmtId="0" fontId="2" fillId="0" borderId="0" xfId="0" applyFont="1" applyFill="1" applyAlignment="1">
      <alignment horizontal="right"/>
    </xf>
    <xf numFmtId="0" fontId="1" fillId="0" borderId="0" xfId="0" applyFont="1"/>
    <xf numFmtId="0" fontId="2" fillId="0" borderId="0" xfId="0" applyFont="1"/>
    <xf numFmtId="0" fontId="2" fillId="0" borderId="0" xfId="0" applyFont="1" applyBorder="1"/>
    <xf numFmtId="0" fontId="2" fillId="0" borderId="0" xfId="0" applyFont="1" applyBorder="1" applyAlignment="1">
      <alignment horizontal="right"/>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3" fontId="2" fillId="0" borderId="1" xfId="0" applyNumberFormat="1" applyFont="1" applyFill="1" applyBorder="1" applyAlignment="1" applyProtection="1">
      <alignment vertical="center"/>
    </xf>
    <xf numFmtId="0" fontId="2" fillId="0" borderId="1" xfId="0" applyFont="1" applyBorder="1"/>
    <xf numFmtId="0" fontId="1" fillId="0" borderId="0" xfId="0" applyFont="1" applyFill="1" applyAlignment="1">
      <alignment vertical="center"/>
    </xf>
    <xf numFmtId="0" fontId="2" fillId="0" borderId="0" xfId="0" applyFont="1" applyFill="1" applyAlignment="1">
      <alignment vertical="center"/>
    </xf>
    <xf numFmtId="0" fontId="4" fillId="0" borderId="0" xfId="0" applyFont="1" applyFill="1" applyAlignment="1">
      <alignment vertical="center"/>
    </xf>
    <xf numFmtId="0" fontId="2" fillId="0" borderId="0" xfId="0" applyFont="1" applyFill="1" applyAlignment="1">
      <alignment horizontal="right" vertical="center"/>
    </xf>
    <xf numFmtId="0" fontId="2" fillId="0" borderId="1" xfId="0" applyFont="1" applyBorder="1" applyAlignment="1">
      <alignment vertical="center"/>
    </xf>
    <xf numFmtId="0" fontId="3" fillId="0" borderId="1" xfId="0" applyFont="1" applyFill="1" applyBorder="1" applyAlignment="1">
      <alignment vertical="center"/>
    </xf>
    <xf numFmtId="1" fontId="2" fillId="0" borderId="1" xfId="0" applyNumberFormat="1" applyFont="1" applyFill="1" applyBorder="1" applyAlignment="1" applyProtection="1">
      <alignment vertical="center"/>
      <protection locked="0"/>
    </xf>
    <xf numFmtId="0" fontId="2" fillId="2" borderId="0" xfId="0" applyFont="1" applyFill="1" applyAlignment="1">
      <alignment vertical="center"/>
    </xf>
    <xf numFmtId="0" fontId="3" fillId="0" borderId="1" xfId="0" applyFont="1" applyFill="1" applyBorder="1" applyAlignment="1">
      <alignment horizontal="center" vertical="center"/>
    </xf>
    <xf numFmtId="0" fontId="2" fillId="2" borderId="1" xfId="0" applyFont="1" applyFill="1" applyBorder="1" applyAlignment="1">
      <alignment vertical="center"/>
    </xf>
    <xf numFmtId="3" fontId="5" fillId="2" borderId="1" xfId="0" applyNumberFormat="1" applyFont="1" applyFill="1" applyBorder="1" applyAlignment="1" applyProtection="1">
      <alignment vertical="center"/>
    </xf>
    <xf numFmtId="0" fontId="1" fillId="0" borderId="0" xfId="4" applyFont="1" applyFill="1"/>
    <xf numFmtId="0" fontId="2" fillId="0" borderId="0" xfId="4" applyFont="1" applyFill="1"/>
    <xf numFmtId="0" fontId="6" fillId="0" borderId="0" xfId="4" applyFont="1" applyFill="1"/>
    <xf numFmtId="0" fontId="1" fillId="0" borderId="0" xfId="4" applyNumberFormat="1" applyFont="1" applyFill="1" applyAlignment="1" applyProtection="1">
      <alignment vertical="center"/>
    </xf>
    <xf numFmtId="0" fontId="1" fillId="0" borderId="0" xfId="4" applyNumberFormat="1" applyFont="1" applyFill="1" applyAlignment="1" applyProtection="1">
      <alignment horizontal="center" vertical="center"/>
    </xf>
    <xf numFmtId="0" fontId="2" fillId="0" borderId="0" xfId="4" applyNumberFormat="1" applyFont="1" applyFill="1" applyAlignment="1" applyProtection="1">
      <alignment horizontal="right" vertical="center"/>
    </xf>
    <xf numFmtId="0" fontId="2" fillId="0" borderId="1" xfId="4" applyNumberFormat="1" applyFont="1" applyFill="1" applyBorder="1" applyAlignment="1" applyProtection="1">
      <alignment horizontal="center" vertical="center" wrapText="1"/>
    </xf>
    <xf numFmtId="0" fontId="3" fillId="0" borderId="1" xfId="4" applyNumberFormat="1" applyFont="1" applyFill="1" applyBorder="1" applyAlignment="1" applyProtection="1">
      <alignment horizontal="center" vertical="center" wrapText="1"/>
    </xf>
    <xf numFmtId="0" fontId="3" fillId="0" borderId="0" xfId="4" applyNumberFormat="1" applyFont="1" applyFill="1" applyBorder="1" applyAlignment="1" applyProtection="1">
      <alignment horizontal="center" vertical="center"/>
    </xf>
    <xf numFmtId="0" fontId="1" fillId="2" borderId="0" xfId="4" applyFont="1" applyFill="1"/>
    <xf numFmtId="0" fontId="2" fillId="0" borderId="1" xfId="4" applyNumberFormat="1" applyFont="1" applyFill="1" applyBorder="1" applyAlignment="1" applyProtection="1">
      <alignment horizontal="centerContinuous" vertical="center" wrapText="1"/>
    </xf>
    <xf numFmtId="0" fontId="2" fillId="0" borderId="2" xfId="4" applyNumberFormat="1" applyFont="1" applyFill="1" applyBorder="1" applyAlignment="1" applyProtection="1">
      <alignment horizontal="center" vertical="center" wrapText="1"/>
    </xf>
    <xf numFmtId="0" fontId="6" fillId="0" borderId="0" xfId="4" applyNumberFormat="1" applyFont="1" applyFill="1" applyAlignment="1" applyProtection="1">
      <alignment horizontal="right" vertical="center"/>
    </xf>
    <xf numFmtId="0" fontId="6" fillId="0" borderId="1" xfId="4" applyNumberFormat="1" applyFont="1" applyFill="1" applyBorder="1" applyAlignment="1" applyProtection="1">
      <alignment horizontal="centerContinuous" vertical="center" wrapText="1"/>
    </xf>
    <xf numFmtId="0" fontId="2" fillId="0" borderId="6" xfId="4" applyNumberFormat="1" applyFont="1" applyFill="1" applyBorder="1" applyAlignment="1" applyProtection="1">
      <alignment horizontal="center" vertical="center" wrapText="1"/>
    </xf>
    <xf numFmtId="0" fontId="1" fillId="2" borderId="0" xfId="0" applyFont="1" applyFill="1" applyAlignment="1">
      <alignment vertical="center"/>
    </xf>
    <xf numFmtId="0" fontId="3" fillId="2" borderId="0" xfId="0" applyFont="1" applyFill="1" applyAlignment="1">
      <alignment vertical="center"/>
    </xf>
    <xf numFmtId="0" fontId="2" fillId="2" borderId="0" xfId="0" applyFont="1" applyFill="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76" fontId="2" fillId="2" borderId="1" xfId="0" applyNumberFormat="1" applyFont="1" applyFill="1" applyBorder="1" applyAlignment="1" applyProtection="1">
      <alignment vertical="center"/>
      <protection locked="0"/>
    </xf>
    <xf numFmtId="0" fontId="2" fillId="2" borderId="1" xfId="0" applyFont="1" applyFill="1" applyBorder="1" applyAlignment="1">
      <alignment horizontal="left" vertical="center"/>
    </xf>
    <xf numFmtId="0" fontId="3" fillId="2" borderId="1" xfId="0" applyFont="1" applyFill="1" applyBorder="1" applyAlignment="1">
      <alignment horizontal="distributed" vertical="center"/>
    </xf>
    <xf numFmtId="0" fontId="2" fillId="2" borderId="9" xfId="0" applyFont="1" applyFill="1" applyBorder="1" applyAlignment="1">
      <alignment horizontal="right" vertical="center"/>
    </xf>
    <xf numFmtId="176" fontId="2" fillId="2" borderId="1" xfId="0" applyNumberFormat="1" applyFont="1" applyFill="1" applyBorder="1" applyAlignment="1" applyProtection="1">
      <alignment horizontal="left" vertical="center"/>
      <protection locked="0"/>
    </xf>
    <xf numFmtId="177" fontId="2" fillId="2" borderId="1" xfId="0" applyNumberFormat="1" applyFont="1" applyFill="1" applyBorder="1" applyAlignment="1" applyProtection="1">
      <alignment horizontal="left" vertical="center"/>
      <protection locked="0"/>
    </xf>
    <xf numFmtId="176" fontId="2" fillId="2" borderId="3" xfId="0" applyNumberFormat="1" applyFont="1" applyFill="1" applyBorder="1" applyAlignment="1" applyProtection="1">
      <alignment horizontal="left" vertical="center"/>
      <protection locked="0"/>
    </xf>
    <xf numFmtId="0" fontId="2" fillId="2" borderId="3" xfId="0" applyFont="1" applyFill="1" applyBorder="1" applyAlignment="1">
      <alignment vertical="center"/>
    </xf>
    <xf numFmtId="0" fontId="2" fillId="0" borderId="6" xfId="0" applyFont="1" applyBorder="1" applyAlignment="1">
      <alignment vertical="center"/>
    </xf>
    <xf numFmtId="0" fontId="2" fillId="2" borderId="6" xfId="0" applyFont="1" applyFill="1" applyBorder="1" applyAlignment="1">
      <alignment vertical="center"/>
    </xf>
    <xf numFmtId="0" fontId="2" fillId="0" borderId="6" xfId="0" applyFont="1" applyFill="1" applyBorder="1" applyAlignment="1">
      <alignment vertical="center"/>
    </xf>
    <xf numFmtId="0" fontId="1" fillId="0"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1" fontId="2" fillId="2" borderId="1" xfId="0" applyNumberFormat="1"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4" fillId="2" borderId="0" xfId="0" applyFont="1" applyFill="1" applyAlignment="1">
      <alignment vertical="center"/>
    </xf>
    <xf numFmtId="0" fontId="2" fillId="2" borderId="0" xfId="0" applyFont="1" applyFill="1" applyAlignment="1">
      <alignment horizontal="right" vertical="center"/>
    </xf>
    <xf numFmtId="0" fontId="6" fillId="0" borderId="0" xfId="0" applyFont="1" applyFill="1" applyAlignment="1">
      <alignment vertical="center"/>
    </xf>
    <xf numFmtId="0" fontId="7" fillId="0" borderId="0" xfId="0" applyFont="1" applyAlignment="1" applyProtection="1">
      <alignment vertical="center"/>
      <protection locked="0"/>
    </xf>
    <xf numFmtId="0" fontId="8" fillId="0" borderId="0" xfId="0" applyFont="1" applyAlignment="1" applyProtection="1">
      <alignment vertical="center"/>
      <protection locked="0"/>
    </xf>
    <xf numFmtId="0" fontId="0" fillId="0" borderId="0" xfId="0" applyAlignment="1" applyProtection="1">
      <alignmen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3" fillId="2" borderId="13" xfId="0" applyFont="1" applyFill="1" applyBorder="1" applyAlignment="1">
      <alignment horizontal="center" vertical="center"/>
    </xf>
    <xf numFmtId="0" fontId="3" fillId="2" borderId="13" xfId="0" applyFont="1" applyFill="1" applyBorder="1" applyAlignment="1">
      <alignment horizontal="center" vertical="center" wrapText="1"/>
    </xf>
    <xf numFmtId="0" fontId="2" fillId="2" borderId="13" xfId="0" applyFont="1" applyFill="1" applyBorder="1" applyAlignment="1">
      <alignment vertical="center"/>
    </xf>
    <xf numFmtId="176" fontId="2" fillId="2" borderId="13" xfId="0" applyNumberFormat="1" applyFont="1" applyFill="1" applyBorder="1" applyAlignment="1" applyProtection="1">
      <alignment horizontal="left" vertical="center"/>
      <protection locked="0"/>
    </xf>
    <xf numFmtId="177" fontId="2" fillId="2" borderId="13" xfId="0" applyNumberFormat="1" applyFont="1" applyFill="1" applyBorder="1" applyAlignment="1" applyProtection="1">
      <alignment horizontal="left" vertical="center"/>
      <protection locked="0"/>
    </xf>
    <xf numFmtId="0" fontId="3" fillId="2" borderId="13" xfId="0" applyFont="1" applyFill="1" applyBorder="1" applyAlignment="1">
      <alignment vertical="center"/>
    </xf>
    <xf numFmtId="0" fontId="6" fillId="2" borderId="13" xfId="0" applyFont="1" applyFill="1" applyBorder="1" applyAlignment="1">
      <alignment vertical="center"/>
    </xf>
    <xf numFmtId="0" fontId="2" fillId="2" borderId="13" xfId="0" applyFont="1" applyFill="1" applyBorder="1" applyAlignment="1">
      <alignment horizontal="left" vertical="center"/>
    </xf>
    <xf numFmtId="0" fontId="2" fillId="0" borderId="13" xfId="0" applyFont="1" applyFill="1" applyBorder="1" applyAlignment="1">
      <alignment vertical="center"/>
    </xf>
    <xf numFmtId="178" fontId="2" fillId="0" borderId="1" xfId="0" applyNumberFormat="1" applyFont="1" applyFill="1" applyBorder="1" applyAlignment="1">
      <alignment vertical="center"/>
    </xf>
    <xf numFmtId="178" fontId="6" fillId="0" borderId="1" xfId="0" applyNumberFormat="1" applyFont="1" applyFill="1" applyBorder="1" applyAlignment="1">
      <alignment vertical="center"/>
    </xf>
    <xf numFmtId="178" fontId="16" fillId="0" borderId="1" xfId="0" applyNumberFormat="1" applyFont="1" applyFill="1" applyBorder="1" applyAlignment="1">
      <alignment vertical="center"/>
    </xf>
    <xf numFmtId="180" fontId="2" fillId="0" borderId="12" xfId="0" applyNumberFormat="1" applyFont="1" applyFill="1" applyBorder="1" applyAlignment="1">
      <alignment vertical="center"/>
    </xf>
    <xf numFmtId="180" fontId="0" fillId="0" borderId="12" xfId="0" applyNumberFormat="1" applyBorder="1" applyAlignment="1">
      <alignment vertical="center"/>
    </xf>
    <xf numFmtId="180" fontId="6" fillId="0" borderId="12" xfId="0" applyNumberFormat="1" applyFont="1" applyFill="1" applyBorder="1" applyAlignment="1">
      <alignment vertical="center"/>
    </xf>
    <xf numFmtId="178" fontId="17" fillId="2" borderId="14" xfId="0" applyNumberFormat="1" applyFont="1" applyFill="1" applyBorder="1" applyAlignment="1">
      <alignment horizontal="right" vertical="center" wrapText="1"/>
    </xf>
    <xf numFmtId="178" fontId="17" fillId="2" borderId="14" xfId="2" applyNumberFormat="1" applyFont="1" applyFill="1" applyBorder="1" applyAlignment="1">
      <alignment horizontal="right" vertical="center" wrapText="1"/>
    </xf>
    <xf numFmtId="9" fontId="20" fillId="0" borderId="14" xfId="0" applyNumberFormat="1" applyFont="1" applyFill="1" applyBorder="1" applyAlignment="1">
      <alignment horizontal="center" vertical="center"/>
    </xf>
    <xf numFmtId="9" fontId="17" fillId="0" borderId="14" xfId="0" applyNumberFormat="1" applyFont="1" applyFill="1" applyBorder="1" applyAlignment="1">
      <alignment horizontal="right" vertical="center"/>
    </xf>
    <xf numFmtId="178" fontId="21" fillId="2" borderId="14" xfId="0" applyNumberFormat="1" applyFont="1" applyFill="1" applyBorder="1" applyAlignment="1" applyProtection="1">
      <alignment horizontal="right" vertical="center" wrapText="1"/>
      <protection locked="0"/>
    </xf>
    <xf numFmtId="178" fontId="17" fillId="2" borderId="14" xfId="0" applyNumberFormat="1" applyFont="1" applyFill="1" applyBorder="1" applyAlignment="1" applyProtection="1">
      <alignment horizontal="right" vertical="center" wrapText="1"/>
      <protection locked="0"/>
    </xf>
    <xf numFmtId="3" fontId="17" fillId="2" borderId="14" xfId="0" applyNumberFormat="1" applyFont="1" applyFill="1" applyBorder="1" applyAlignment="1" applyProtection="1">
      <alignment horizontal="right" vertical="center"/>
    </xf>
    <xf numFmtId="178" fontId="17" fillId="2" borderId="14" xfId="0" applyNumberFormat="1" applyFont="1" applyFill="1" applyBorder="1" applyAlignment="1" applyProtection="1">
      <alignment horizontal="right" vertical="center" wrapText="1"/>
    </xf>
    <xf numFmtId="178" fontId="17" fillId="2" borderId="0" xfId="0" applyNumberFormat="1" applyFont="1" applyFill="1" applyAlignment="1" applyProtection="1">
      <alignment horizontal="right" vertical="center" wrapText="1"/>
      <protection locked="0"/>
    </xf>
    <xf numFmtId="178" fontId="20" fillId="2" borderId="14" xfId="0" applyNumberFormat="1" applyFont="1" applyFill="1" applyBorder="1" applyAlignment="1" applyProtection="1">
      <alignment horizontal="right" vertical="center" wrapText="1"/>
      <protection locked="0"/>
    </xf>
    <xf numFmtId="181" fontId="17" fillId="2" borderId="10" xfId="0" applyNumberFormat="1" applyFont="1" applyFill="1" applyBorder="1" applyAlignment="1">
      <alignment vertical="center"/>
    </xf>
    <xf numFmtId="181" fontId="17" fillId="2" borderId="15" xfId="0" applyNumberFormat="1" applyFont="1" applyFill="1" applyBorder="1" applyAlignment="1">
      <alignment vertical="center"/>
    </xf>
    <xf numFmtId="178" fontId="17" fillId="2" borderId="16" xfId="0" applyNumberFormat="1" applyFont="1" applyFill="1" applyBorder="1" applyAlignment="1" applyProtection="1">
      <alignment horizontal="right" vertical="center" wrapText="1"/>
      <protection locked="0"/>
    </xf>
    <xf numFmtId="178" fontId="17" fillId="2" borderId="17" xfId="0" applyNumberFormat="1" applyFont="1" applyFill="1" applyBorder="1" applyAlignment="1" applyProtection="1">
      <alignment horizontal="right" vertical="center" wrapText="1"/>
      <protection locked="0"/>
    </xf>
    <xf numFmtId="0" fontId="2" fillId="0" borderId="0" xfId="0" applyFont="1" applyFill="1" applyAlignment="1">
      <alignment horizontal="center" vertical="center"/>
    </xf>
    <xf numFmtId="1" fontId="2" fillId="0" borderId="0" xfId="0" applyNumberFormat="1" applyFont="1" applyFill="1" applyAlignment="1">
      <alignment vertical="center"/>
    </xf>
    <xf numFmtId="180" fontId="17" fillId="2" borderId="14" xfId="9" applyNumberFormat="1" applyFont="1" applyFill="1" applyBorder="1" applyAlignment="1">
      <alignment horizontal="right" vertical="center"/>
    </xf>
    <xf numFmtId="180" fontId="18" fillId="2" borderId="14" xfId="0" applyNumberFormat="1" applyFont="1" applyFill="1" applyBorder="1" applyAlignment="1">
      <alignment vertical="center"/>
    </xf>
    <xf numFmtId="178" fontId="2" fillId="2" borderId="1" xfId="0" applyNumberFormat="1" applyFont="1" applyFill="1" applyBorder="1" applyAlignment="1">
      <alignment vertical="center"/>
    </xf>
    <xf numFmtId="180" fontId="19" fillId="0" borderId="14" xfId="9" applyNumberFormat="1" applyFont="1" applyFill="1" applyBorder="1" applyAlignment="1">
      <alignment horizontal="right" vertical="center"/>
    </xf>
    <xf numFmtId="180" fontId="17" fillId="0" borderId="14" xfId="0" applyNumberFormat="1" applyFont="1" applyFill="1" applyBorder="1" applyAlignment="1">
      <alignment horizontal="right" vertical="center"/>
    </xf>
    <xf numFmtId="0" fontId="2" fillId="2" borderId="1" xfId="0" applyFont="1" applyFill="1" applyBorder="1" applyAlignment="1">
      <alignment horizontal="center" vertical="center"/>
    </xf>
    <xf numFmtId="180" fontId="15" fillId="0" borderId="14" xfId="0" applyNumberFormat="1" applyFont="1" applyFill="1" applyBorder="1" applyAlignment="1">
      <alignment horizontal="right" vertical="center"/>
    </xf>
    <xf numFmtId="0" fontId="19" fillId="0" borderId="0" xfId="4" applyFont="1" applyFill="1" applyAlignment="1">
      <alignment horizontal="right" wrapText="1"/>
    </xf>
    <xf numFmtId="0" fontId="19" fillId="0" borderId="0" xfId="4" applyFont="1" applyFill="1" applyBorder="1" applyAlignment="1">
      <alignment horizontal="right" wrapText="1"/>
    </xf>
    <xf numFmtId="0" fontId="19" fillId="0" borderId="0" xfId="4" applyFont="1" applyFill="1"/>
    <xf numFmtId="0" fontId="19" fillId="0" borderId="0" xfId="0" applyFont="1" applyFill="1"/>
    <xf numFmtId="0" fontId="19" fillId="0" borderId="0" xfId="4" applyFont="1" applyFill="1" applyBorder="1" applyAlignment="1"/>
    <xf numFmtId="181" fontId="19" fillId="0" borderId="0" xfId="4" applyNumberFormat="1" applyFont="1" applyFill="1" applyAlignment="1">
      <alignment wrapText="1"/>
    </xf>
    <xf numFmtId="181" fontId="19" fillId="0" borderId="0" xfId="4" applyNumberFormat="1" applyFont="1" applyFill="1" applyBorder="1" applyAlignment="1">
      <alignment wrapText="1"/>
    </xf>
    <xf numFmtId="0" fontId="14" fillId="0" borderId="0" xfId="4" applyFont="1" applyFill="1"/>
    <xf numFmtId="0" fontId="17" fillId="0" borderId="0" xfId="4" applyFont="1" applyFill="1"/>
    <xf numFmtId="0" fontId="14" fillId="0" borderId="0" xfId="4" applyFont="1" applyFill="1" applyBorder="1" applyAlignment="1"/>
    <xf numFmtId="0" fontId="14" fillId="2" borderId="0" xfId="4" applyFont="1" applyFill="1"/>
    <xf numFmtId="178" fontId="19" fillId="0" borderId="14" xfId="4" applyNumberFormat="1" applyFont="1" applyFill="1" applyBorder="1" applyAlignment="1">
      <alignment vertical="center"/>
    </xf>
    <xf numFmtId="178" fontId="2" fillId="0" borderId="0" xfId="4" applyNumberFormat="1" applyFont="1" applyFill="1"/>
    <xf numFmtId="178" fontId="24" fillId="0" borderId="0" xfId="4" applyNumberFormat="1" applyFont="1" applyFill="1"/>
    <xf numFmtId="0" fontId="17" fillId="0" borderId="0" xfId="0" applyNumberFormat="1" applyFont="1" applyFill="1" applyBorder="1" applyAlignment="1" applyProtection="1"/>
    <xf numFmtId="0" fontId="17" fillId="2" borderId="0" xfId="0" applyNumberFormat="1" applyFont="1" applyFill="1" applyBorder="1" applyAlignment="1" applyProtection="1"/>
    <xf numFmtId="0" fontId="2" fillId="0" borderId="0" xfId="4" applyFont="1" applyFill="1" applyBorder="1" applyAlignment="1"/>
    <xf numFmtId="0" fontId="17" fillId="0" borderId="0" xfId="4" applyFont="1" applyFill="1" applyAlignment="1"/>
    <xf numFmtId="178" fontId="14" fillId="0" borderId="0" xfId="4" applyNumberFormat="1" applyFont="1" applyFill="1" applyBorder="1" applyAlignment="1">
      <alignment horizontal="right" wrapText="1"/>
    </xf>
    <xf numFmtId="178" fontId="19" fillId="0" borderId="0" xfId="4" applyNumberFormat="1" applyFont="1" applyFill="1" applyBorder="1" applyAlignment="1">
      <alignment horizontal="right" wrapText="1"/>
    </xf>
    <xf numFmtId="0" fontId="17" fillId="0" borderId="0" xfId="4" applyFont="1" applyFill="1" applyBorder="1" applyAlignment="1"/>
    <xf numFmtId="178" fontId="19" fillId="0" borderId="14" xfId="4" applyNumberFormat="1" applyFont="1" applyFill="1" applyBorder="1" applyAlignment="1"/>
    <xf numFmtId="178" fontId="19" fillId="0" borderId="0" xfId="4" applyNumberFormat="1" applyFont="1" applyFill="1" applyBorder="1" applyAlignment="1">
      <alignment horizontal="right" vertical="center" wrapText="1"/>
    </xf>
    <xf numFmtId="0" fontId="14" fillId="0" borderId="0" xfId="4" applyFont="1" applyFill="1" applyBorder="1" applyAlignment="1">
      <alignment vertical="center"/>
    </xf>
    <xf numFmtId="0" fontId="2" fillId="0" borderId="0" xfId="0" applyFont="1" applyFill="1" applyBorder="1" applyAlignment="1">
      <alignment vertical="center"/>
    </xf>
    <xf numFmtId="176" fontId="2" fillId="0" borderId="0" xfId="4" applyNumberFormat="1" applyFont="1" applyFill="1"/>
    <xf numFmtId="0" fontId="23" fillId="0" borderId="0" xfId="4" applyFont="1" applyFill="1" applyBorder="1" applyAlignment="1"/>
    <xf numFmtId="180" fontId="2" fillId="0" borderId="0" xfId="4" applyNumberFormat="1" applyFont="1" applyFill="1"/>
    <xf numFmtId="180" fontId="19" fillId="0" borderId="14" xfId="4" applyNumberFormat="1" applyFont="1" applyFill="1" applyBorder="1" applyAlignment="1"/>
    <xf numFmtId="180" fontId="25" fillId="0" borderId="0" xfId="4" applyNumberFormat="1" applyFont="1" applyFill="1"/>
    <xf numFmtId="180" fontId="26" fillId="0" borderId="0" xfId="4" applyNumberFormat="1" applyFont="1" applyFill="1"/>
    <xf numFmtId="180" fontId="25" fillId="0" borderId="1" xfId="4" applyNumberFormat="1" applyFont="1" applyFill="1" applyBorder="1" applyAlignment="1" applyProtection="1">
      <alignment horizontal="right" vertical="center"/>
    </xf>
    <xf numFmtId="180" fontId="25" fillId="0" borderId="14" xfId="0" applyNumberFormat="1" applyFont="1" applyFill="1" applyBorder="1" applyAlignment="1">
      <alignment vertical="center"/>
    </xf>
    <xf numFmtId="0" fontId="25" fillId="0" borderId="1" xfId="4" applyFont="1" applyFill="1" applyBorder="1" applyAlignment="1">
      <alignment vertical="center"/>
    </xf>
    <xf numFmtId="3" fontId="25" fillId="0" borderId="1" xfId="4" applyNumberFormat="1" applyFont="1" applyFill="1" applyBorder="1" applyAlignment="1" applyProtection="1">
      <alignment vertical="center"/>
    </xf>
    <xf numFmtId="0" fontId="25" fillId="0" borderId="14" xfId="4" applyFont="1" applyFill="1" applyBorder="1" applyAlignment="1">
      <alignment horizontal="left" vertical="center" wrapText="1" indent="1"/>
    </xf>
    <xf numFmtId="0" fontId="25" fillId="0" borderId="14" xfId="4" applyFont="1" applyFill="1" applyBorder="1" applyAlignment="1">
      <alignment horizontal="left" vertical="center" indent="1"/>
    </xf>
    <xf numFmtId="0" fontId="25" fillId="0" borderId="14" xfId="4" applyFont="1" applyFill="1" applyBorder="1" applyAlignment="1">
      <alignment horizontal="left" indent="1"/>
    </xf>
    <xf numFmtId="178" fontId="25" fillId="0" borderId="14" xfId="4" applyNumberFormat="1" applyFont="1" applyFill="1" applyBorder="1" applyAlignment="1">
      <alignment horizontal="left" vertical="center" indent="1"/>
    </xf>
    <xf numFmtId="3" fontId="25" fillId="0" borderId="14" xfId="4" applyNumberFormat="1" applyFont="1" applyFill="1" applyBorder="1" applyAlignment="1" applyProtection="1">
      <alignment horizontal="left" vertical="center" indent="1"/>
    </xf>
    <xf numFmtId="178" fontId="25" fillId="0" borderId="14" xfId="4" applyNumberFormat="1" applyFont="1" applyFill="1" applyBorder="1" applyAlignment="1">
      <alignment horizontal="left" vertical="center" wrapText="1" indent="1"/>
    </xf>
    <xf numFmtId="0" fontId="25" fillId="0" borderId="14" xfId="4" applyFont="1" applyFill="1" applyBorder="1" applyAlignment="1">
      <alignment horizontal="left" vertical="center" wrapText="1" indent="2"/>
    </xf>
    <xf numFmtId="0" fontId="25" fillId="0" borderId="14" xfId="4" applyFont="1" applyFill="1" applyBorder="1" applyAlignment="1">
      <alignment horizontal="left" vertical="center" indent="2"/>
    </xf>
    <xf numFmtId="0" fontId="25" fillId="0" borderId="14" xfId="4" applyFont="1" applyFill="1" applyBorder="1" applyAlignment="1">
      <alignment horizontal="left" indent="2"/>
    </xf>
    <xf numFmtId="178" fontId="25" fillId="0" borderId="14" xfId="4" applyNumberFormat="1" applyFont="1" applyFill="1" applyBorder="1" applyAlignment="1">
      <alignment horizontal="left" vertical="center" indent="2"/>
    </xf>
    <xf numFmtId="3" fontId="25" fillId="0" borderId="14" xfId="4" applyNumberFormat="1" applyFont="1" applyFill="1" applyBorder="1" applyAlignment="1" applyProtection="1">
      <alignment horizontal="left" vertical="center" indent="2"/>
    </xf>
    <xf numFmtId="178" fontId="25" fillId="0" borderId="14" xfId="4" applyNumberFormat="1" applyFont="1" applyFill="1" applyBorder="1" applyAlignment="1">
      <alignment horizontal="left" vertical="center" wrapText="1" indent="2"/>
    </xf>
    <xf numFmtId="180" fontId="19" fillId="0" borderId="14" xfId="4" applyNumberFormat="1" applyFont="1" applyFill="1" applyBorder="1" applyAlignment="1" applyProtection="1">
      <alignment vertical="center" wrapText="1"/>
    </xf>
    <xf numFmtId="180" fontId="19" fillId="0" borderId="14" xfId="4" applyNumberFormat="1" applyFont="1" applyFill="1" applyBorder="1" applyAlignment="1">
      <alignment wrapText="1"/>
    </xf>
    <xf numFmtId="180" fontId="27" fillId="0" borderId="14" xfId="4" applyNumberFormat="1" applyFont="1" applyFill="1" applyBorder="1" applyAlignment="1"/>
    <xf numFmtId="180" fontId="25" fillId="0" borderId="14" xfId="8" applyNumberFormat="1" applyFont="1" applyFill="1" applyBorder="1" applyAlignment="1" applyProtection="1">
      <alignment shrinkToFit="1"/>
    </xf>
    <xf numFmtId="180" fontId="25" fillId="0" borderId="14" xfId="4" applyNumberFormat="1" applyFont="1" applyFill="1" applyBorder="1" applyAlignment="1">
      <alignment shrinkToFit="1"/>
    </xf>
    <xf numFmtId="180" fontId="25" fillId="0" borderId="14" xfId="2" applyNumberFormat="1" applyFont="1" applyFill="1" applyBorder="1" applyAlignment="1">
      <alignment vertical="center"/>
    </xf>
    <xf numFmtId="180" fontId="25" fillId="0" borderId="14" xfId="10" applyNumberFormat="1" applyFont="1" applyFill="1" applyBorder="1" applyAlignment="1">
      <alignment vertical="center"/>
    </xf>
    <xf numFmtId="180" fontId="29" fillId="0" borderId="14" xfId="0" applyNumberFormat="1" applyFont="1" applyFill="1" applyBorder="1" applyAlignment="1">
      <alignment vertical="center"/>
    </xf>
    <xf numFmtId="180" fontId="22" fillId="0" borderId="14" xfId="4" applyNumberFormat="1" applyFont="1" applyFill="1" applyBorder="1" applyAlignment="1"/>
    <xf numFmtId="180" fontId="25" fillId="0" borderId="1" xfId="4" applyNumberFormat="1" applyFont="1" applyFill="1" applyBorder="1" applyAlignment="1" applyProtection="1">
      <alignment vertical="center"/>
    </xf>
    <xf numFmtId="180" fontId="26" fillId="0" borderId="1" xfId="4" applyNumberFormat="1" applyFont="1" applyFill="1" applyBorder="1" applyAlignment="1" applyProtection="1">
      <alignment vertical="center"/>
    </xf>
    <xf numFmtId="180" fontId="25" fillId="0" borderId="14" xfId="4" applyNumberFormat="1" applyFont="1" applyFill="1" applyBorder="1" applyAlignment="1" applyProtection="1">
      <alignment vertical="center"/>
    </xf>
    <xf numFmtId="180" fontId="19" fillId="0" borderId="14" xfId="4" applyNumberFormat="1" applyFont="1" applyFill="1" applyBorder="1" applyAlignment="1" applyProtection="1">
      <alignment vertical="center"/>
    </xf>
    <xf numFmtId="180" fontId="28" fillId="0" borderId="14" xfId="4" applyNumberFormat="1" applyFont="1" applyFill="1" applyBorder="1" applyAlignment="1" applyProtection="1">
      <alignment vertical="center"/>
    </xf>
    <xf numFmtId="180" fontId="19" fillId="0" borderId="14" xfId="0" applyNumberFormat="1" applyFont="1" applyFill="1" applyBorder="1" applyAlignment="1" applyProtection="1">
      <alignment vertical="center"/>
    </xf>
    <xf numFmtId="180" fontId="19" fillId="0" borderId="16" xfId="0" applyNumberFormat="1" applyFont="1" applyFill="1" applyBorder="1" applyAlignment="1" applyProtection="1">
      <alignment vertical="center"/>
    </xf>
    <xf numFmtId="180" fontId="27" fillId="0" borderId="14" xfId="4" applyNumberFormat="1" applyFont="1" applyFill="1" applyBorder="1" applyAlignment="1">
      <alignment wrapText="1"/>
    </xf>
    <xf numFmtId="180" fontId="19" fillId="0" borderId="14" xfId="2" applyNumberFormat="1" applyFont="1" applyFill="1" applyBorder="1" applyAlignment="1">
      <alignment vertical="center" wrapText="1"/>
    </xf>
    <xf numFmtId="180" fontId="19" fillId="0" borderId="14" xfId="2" applyNumberFormat="1" applyFont="1" applyFill="1" applyBorder="1" applyAlignment="1" applyProtection="1">
      <alignment vertical="center" wrapText="1"/>
      <protection locked="0"/>
    </xf>
    <xf numFmtId="180" fontId="27" fillId="0" borderId="14" xfId="4" applyNumberFormat="1" applyFont="1" applyFill="1" applyBorder="1" applyAlignment="1" applyProtection="1">
      <alignment vertical="center" wrapText="1"/>
    </xf>
    <xf numFmtId="180" fontId="25" fillId="0" borderId="14" xfId="8" applyNumberFormat="1" applyFont="1" applyFill="1" applyBorder="1" applyAlignment="1" applyProtection="1">
      <alignment vertical="center" shrinkToFit="1"/>
    </xf>
    <xf numFmtId="180" fontId="22" fillId="0" borderId="14" xfId="4" applyNumberFormat="1" applyFont="1" applyFill="1" applyBorder="1" applyAlignment="1" applyProtection="1">
      <alignment vertical="center"/>
    </xf>
    <xf numFmtId="180" fontId="25" fillId="0" borderId="14" xfId="4" applyNumberFormat="1" applyFont="1" applyFill="1" applyBorder="1" applyAlignment="1"/>
    <xf numFmtId="178" fontId="19" fillId="0" borderId="14" xfId="4" applyNumberFormat="1" applyFont="1" applyFill="1" applyBorder="1" applyAlignment="1" applyProtection="1">
      <alignment vertical="center"/>
    </xf>
    <xf numFmtId="178" fontId="19" fillId="0" borderId="14" xfId="2" applyNumberFormat="1" applyFont="1" applyFill="1" applyBorder="1" applyAlignment="1" applyProtection="1">
      <alignment vertical="center"/>
      <protection locked="0"/>
    </xf>
    <xf numFmtId="178" fontId="19" fillId="0" borderId="14" xfId="2" applyNumberFormat="1" applyFont="1" applyFill="1" applyBorder="1" applyAlignment="1" applyProtection="1">
      <alignment vertical="center"/>
    </xf>
    <xf numFmtId="178" fontId="19" fillId="0" borderId="14" xfId="4" applyNumberFormat="1" applyFont="1" applyFill="1" applyBorder="1" applyAlignment="1">
      <alignment vertical="center" wrapText="1"/>
    </xf>
    <xf numFmtId="178" fontId="19" fillId="0" borderId="14" xfId="2" applyNumberFormat="1" applyFont="1" applyFill="1" applyBorder="1" applyAlignment="1" applyProtection="1">
      <alignment vertical="center" wrapText="1"/>
      <protection locked="0"/>
    </xf>
    <xf numFmtId="178" fontId="19" fillId="0" borderId="14" xfId="4" applyNumberFormat="1" applyFont="1" applyFill="1" applyBorder="1" applyAlignment="1" applyProtection="1">
      <alignment vertical="center" wrapText="1"/>
    </xf>
    <xf numFmtId="178" fontId="6" fillId="0" borderId="0" xfId="4" applyNumberFormat="1" applyFont="1" applyFill="1"/>
    <xf numFmtId="178" fontId="2" fillId="0" borderId="1" xfId="0" applyNumberFormat="1" applyFont="1" applyFill="1" applyBorder="1" applyAlignment="1" applyProtection="1">
      <alignment vertical="center" wrapText="1"/>
      <protection locked="0"/>
    </xf>
    <xf numFmtId="178" fontId="2" fillId="0" borderId="1" xfId="0" applyNumberFormat="1" applyFont="1" applyBorder="1" applyAlignment="1" applyProtection="1">
      <alignment vertical="center" wrapText="1"/>
      <protection locked="0"/>
    </xf>
    <xf numFmtId="178" fontId="25" fillId="0" borderId="1" xfId="4" applyNumberFormat="1" applyFont="1" applyFill="1" applyBorder="1" applyAlignment="1" applyProtection="1">
      <alignment vertical="center"/>
    </xf>
    <xf numFmtId="178" fontId="25" fillId="0" borderId="1" xfId="4" applyNumberFormat="1" applyFont="1" applyFill="1" applyBorder="1" applyAlignment="1"/>
    <xf numFmtId="178" fontId="25" fillId="0" borderId="1" xfId="4" applyNumberFormat="1" applyFont="1" applyFill="1" applyBorder="1" applyAlignment="1" applyProtection="1">
      <alignment horizontal="right" vertical="center"/>
    </xf>
    <xf numFmtId="178" fontId="19" fillId="0" borderId="14" xfId="4" applyNumberFormat="1" applyFont="1" applyFill="1" applyBorder="1" applyAlignment="1">
      <alignment wrapText="1"/>
    </xf>
    <xf numFmtId="178" fontId="19" fillId="0" borderId="14" xfId="0" applyNumberFormat="1" applyFont="1" applyFill="1" applyBorder="1" applyAlignment="1" applyProtection="1">
      <alignment vertical="center" wrapText="1"/>
      <protection locked="0"/>
    </xf>
    <xf numFmtId="178" fontId="19" fillId="0" borderId="14" xfId="0" applyNumberFormat="1" applyFont="1" applyFill="1" applyBorder="1" applyAlignment="1" applyProtection="1">
      <alignment vertical="center" wrapText="1"/>
    </xf>
    <xf numFmtId="178" fontId="19" fillId="0" borderId="14" xfId="0" applyNumberFormat="1" applyFont="1" applyFill="1" applyBorder="1" applyAlignment="1" applyProtection="1">
      <alignment wrapText="1"/>
    </xf>
    <xf numFmtId="178" fontId="19" fillId="0" borderId="14" xfId="0" applyNumberFormat="1" applyFont="1" applyFill="1" applyBorder="1" applyAlignment="1" applyProtection="1">
      <alignment vertical="center"/>
      <protection locked="0"/>
    </xf>
    <xf numFmtId="178" fontId="19" fillId="0" borderId="14" xfId="0" applyNumberFormat="1" applyFont="1" applyFill="1" applyBorder="1" applyAlignment="1" applyProtection="1">
      <alignment vertical="center"/>
    </xf>
    <xf numFmtId="178" fontId="25" fillId="0" borderId="14" xfId="4" applyNumberFormat="1" applyFont="1" applyFill="1" applyBorder="1" applyAlignment="1">
      <alignment shrinkToFit="1"/>
    </xf>
    <xf numFmtId="178" fontId="25" fillId="0" borderId="14" xfId="4" applyNumberFormat="1" applyFont="1" applyFill="1" applyBorder="1" applyAlignment="1" applyProtection="1">
      <alignment vertical="center" shrinkToFit="1"/>
    </xf>
    <xf numFmtId="178" fontId="25" fillId="0" borderId="14" xfId="4" applyNumberFormat="1" applyFont="1" applyFill="1" applyBorder="1" applyAlignment="1" applyProtection="1">
      <alignment vertical="center"/>
    </xf>
    <xf numFmtId="178" fontId="25" fillId="0" borderId="14" xfId="0" applyNumberFormat="1" applyFont="1" applyFill="1" applyBorder="1" applyAlignment="1" applyProtection="1">
      <alignment vertical="center"/>
      <protection locked="0"/>
    </xf>
    <xf numFmtId="178" fontId="19" fillId="0" borderId="14" xfId="4" applyNumberFormat="1" applyFont="1" applyFill="1" applyBorder="1" applyAlignment="1" applyProtection="1"/>
    <xf numFmtId="178" fontId="25" fillId="0" borderId="14" xfId="4" applyNumberFormat="1" applyFont="1" applyFill="1" applyBorder="1" applyAlignment="1"/>
    <xf numFmtId="178" fontId="2" fillId="0" borderId="1" xfId="4" applyNumberFormat="1" applyFont="1" applyFill="1" applyBorder="1" applyAlignment="1" applyProtection="1">
      <alignment horizontal="center" vertical="center" wrapText="1"/>
    </xf>
    <xf numFmtId="178" fontId="25" fillId="0" borderId="14" xfId="4" applyNumberFormat="1" applyFont="1" applyFill="1" applyBorder="1" applyAlignment="1">
      <alignment wrapText="1"/>
    </xf>
    <xf numFmtId="178" fontId="25" fillId="0" borderId="14" xfId="4" applyNumberFormat="1" applyFont="1" applyFill="1" applyBorder="1" applyAlignment="1" applyProtection="1">
      <alignment vertical="center" wrapText="1"/>
    </xf>
    <xf numFmtId="178" fontId="25" fillId="2" borderId="14" xfId="2" applyNumberFormat="1" applyFont="1" applyFill="1" applyBorder="1" applyAlignment="1">
      <alignment vertical="center" wrapText="1"/>
    </xf>
    <xf numFmtId="178" fontId="25" fillId="2" borderId="14" xfId="0" applyNumberFormat="1" applyFont="1" applyFill="1" applyBorder="1" applyAlignment="1" applyProtection="1">
      <alignment vertical="center"/>
      <protection locked="0"/>
    </xf>
    <xf numFmtId="178" fontId="25" fillId="2" borderId="14" xfId="2" applyNumberFormat="1" applyFont="1" applyFill="1" applyBorder="1" applyAlignment="1" applyProtection="1">
      <alignment vertical="center" wrapText="1"/>
      <protection locked="0"/>
    </xf>
    <xf numFmtId="178" fontId="25" fillId="2" borderId="14" xfId="4" applyNumberFormat="1" applyFont="1" applyFill="1" applyBorder="1" applyAlignment="1" applyProtection="1">
      <alignment vertical="center"/>
    </xf>
    <xf numFmtId="178" fontId="25" fillId="2" borderId="14" xfId="4" applyNumberFormat="1" applyFont="1" applyFill="1" applyBorder="1" applyAlignment="1"/>
    <xf numFmtId="178" fontId="25" fillId="2" borderId="0" xfId="0" applyNumberFormat="1" applyFont="1" applyFill="1" applyBorder="1" applyAlignment="1" applyProtection="1">
      <alignment vertical="center"/>
      <protection locked="0"/>
    </xf>
    <xf numFmtId="178" fontId="25" fillId="2" borderId="14" xfId="4" applyNumberFormat="1" applyFont="1" applyFill="1" applyBorder="1" applyAlignment="1">
      <alignment vertical="center"/>
    </xf>
    <xf numFmtId="178" fontId="25" fillId="2" borderId="14" xfId="4" applyNumberFormat="1" applyFont="1" applyFill="1" applyBorder="1" applyAlignment="1">
      <alignment vertical="center" wrapText="1"/>
    </xf>
    <xf numFmtId="178" fontId="25" fillId="2" borderId="0" xfId="2" applyNumberFormat="1" applyFont="1" applyFill="1" applyBorder="1" applyAlignment="1" applyProtection="1">
      <alignment vertical="center" wrapText="1"/>
      <protection locked="0"/>
    </xf>
    <xf numFmtId="178" fontId="25" fillId="2" borderId="14" xfId="4" applyNumberFormat="1" applyFont="1" applyFill="1" applyBorder="1" applyAlignment="1">
      <alignment shrinkToFit="1"/>
    </xf>
    <xf numFmtId="178" fontId="2" fillId="2" borderId="0" xfId="4" applyNumberFormat="1" applyFont="1" applyFill="1"/>
    <xf numFmtId="178" fontId="25" fillId="2" borderId="1" xfId="4" applyNumberFormat="1" applyFont="1" applyFill="1" applyBorder="1" applyAlignment="1" applyProtection="1">
      <alignment vertical="center"/>
    </xf>
    <xf numFmtId="178" fontId="25" fillId="2" borderId="1" xfId="4" applyNumberFormat="1" applyFont="1" applyFill="1" applyBorder="1" applyAlignment="1" applyProtection="1">
      <alignment horizontal="right" vertical="center"/>
    </xf>
    <xf numFmtId="181" fontId="2" fillId="2" borderId="0" xfId="0" applyNumberFormat="1" applyFont="1" applyFill="1" applyAlignment="1">
      <alignment vertical="center"/>
    </xf>
    <xf numFmtId="180" fontId="17" fillId="2" borderId="14" xfId="0" applyNumberFormat="1" applyFont="1" applyFill="1" applyBorder="1" applyAlignment="1" applyProtection="1">
      <alignment horizontal="right" vertical="center"/>
    </xf>
    <xf numFmtId="180" fontId="2" fillId="2" borderId="1" xfId="0" applyNumberFormat="1" applyFont="1" applyFill="1" applyBorder="1" applyAlignment="1">
      <alignment vertical="center"/>
    </xf>
    <xf numFmtId="180" fontId="17" fillId="2" borderId="14" xfId="2" applyNumberFormat="1" applyFont="1" applyFill="1" applyBorder="1" applyAlignment="1">
      <alignment horizontal="right" vertical="center"/>
    </xf>
    <xf numFmtId="178" fontId="2" fillId="0" borderId="0" xfId="0" applyNumberFormat="1" applyFont="1" applyFill="1" applyBorder="1" applyAlignment="1" applyProtection="1">
      <alignment vertical="center"/>
      <protection locked="0"/>
    </xf>
    <xf numFmtId="0" fontId="3" fillId="2" borderId="1" xfId="0" applyFont="1" applyFill="1" applyBorder="1" applyAlignment="1" applyProtection="1">
      <alignment horizontal="left" vertical="center"/>
      <protection locked="0"/>
    </xf>
    <xf numFmtId="0" fontId="2" fillId="2" borderId="0" xfId="0" applyFont="1" applyFill="1" applyAlignment="1" applyProtection="1">
      <alignment vertical="center"/>
      <protection locked="0"/>
    </xf>
    <xf numFmtId="1" fontId="3" fillId="2" borderId="1" xfId="0" applyNumberFormat="1" applyFont="1" applyFill="1" applyBorder="1" applyAlignment="1" applyProtection="1">
      <alignment vertical="center"/>
      <protection locked="0"/>
    </xf>
    <xf numFmtId="1" fontId="2" fillId="2" borderId="1" xfId="0" applyNumberFormat="1" applyFont="1" applyFill="1" applyBorder="1" applyAlignment="1" applyProtection="1">
      <alignment horizontal="left" vertical="center"/>
      <protection locked="0"/>
    </xf>
    <xf numFmtId="0" fontId="2" fillId="2" borderId="1" xfId="0" applyNumberFormat="1" applyFont="1" applyFill="1" applyBorder="1" applyAlignment="1" applyProtection="1">
      <alignment vertical="center"/>
      <protection locked="0"/>
    </xf>
    <xf numFmtId="3" fontId="2" fillId="2" borderId="1" xfId="0" applyNumberFormat="1" applyFont="1" applyFill="1" applyBorder="1" applyAlignment="1" applyProtection="1">
      <alignment vertical="center"/>
      <protection locked="0"/>
    </xf>
    <xf numFmtId="0" fontId="2" fillId="2" borderId="1" xfId="0" applyFont="1" applyFill="1" applyBorder="1" applyAlignment="1" applyProtection="1">
      <alignment vertical="center" wrapText="1"/>
      <protection locked="0"/>
    </xf>
    <xf numFmtId="3" fontId="2" fillId="2" borderId="2" xfId="0" applyNumberFormat="1"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1" fontId="2" fillId="2" borderId="3" xfId="0" applyNumberFormat="1" applyFont="1" applyFill="1" applyBorder="1" applyAlignment="1" applyProtection="1">
      <alignment horizontal="left" vertical="center"/>
      <protection locked="0"/>
    </xf>
    <xf numFmtId="178" fontId="2" fillId="2" borderId="0" xfId="0" applyNumberFormat="1" applyFont="1" applyFill="1" applyAlignment="1" applyProtection="1">
      <alignment vertical="center"/>
      <protection locked="0"/>
    </xf>
    <xf numFmtId="0" fontId="2"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distributed" vertical="center"/>
      <protection locked="0"/>
    </xf>
    <xf numFmtId="0" fontId="2" fillId="2" borderId="0" xfId="0" applyFont="1" applyFill="1" applyBorder="1" applyAlignment="1" applyProtection="1">
      <alignment vertical="center"/>
      <protection locked="0"/>
    </xf>
    <xf numFmtId="180" fontId="3" fillId="2" borderId="12" xfId="0" applyNumberFormat="1" applyFont="1" applyFill="1" applyBorder="1" applyAlignment="1">
      <alignment vertical="center"/>
    </xf>
    <xf numFmtId="3" fontId="3" fillId="2" borderId="14" xfId="0" applyNumberFormat="1" applyFont="1" applyFill="1" applyBorder="1" applyAlignment="1">
      <alignment vertical="center"/>
    </xf>
    <xf numFmtId="179" fontId="3" fillId="2" borderId="1" xfId="0" applyNumberFormat="1" applyFont="1" applyFill="1" applyBorder="1" applyAlignment="1">
      <alignment vertical="center"/>
    </xf>
    <xf numFmtId="179" fontId="17" fillId="2" borderId="10" xfId="8" applyNumberFormat="1" applyFont="1" applyFill="1" applyBorder="1" applyAlignment="1">
      <alignment vertical="center"/>
    </xf>
    <xf numFmtId="178" fontId="17" fillId="2" borderId="14" xfId="0" applyNumberFormat="1" applyFont="1" applyFill="1" applyBorder="1" applyAlignment="1">
      <alignment vertical="center"/>
    </xf>
    <xf numFmtId="0" fontId="17" fillId="2" borderId="14" xfId="9" applyFont="1" applyFill="1" applyBorder="1" applyAlignment="1" applyProtection="1">
      <alignment horizontal="right" vertical="center"/>
      <protection locked="0"/>
    </xf>
    <xf numFmtId="176" fontId="2" fillId="2" borderId="1" xfId="0" applyNumberFormat="1" applyFont="1" applyFill="1" applyBorder="1" applyAlignment="1">
      <alignment vertical="center"/>
    </xf>
    <xf numFmtId="0" fontId="30" fillId="2" borderId="14" xfId="9" applyFont="1" applyFill="1" applyBorder="1" applyAlignment="1">
      <alignment vertical="center"/>
    </xf>
    <xf numFmtId="181" fontId="30" fillId="2" borderId="14" xfId="9" applyNumberFormat="1" applyFont="1" applyFill="1" applyBorder="1" applyAlignment="1">
      <alignment horizontal="right" vertical="center" wrapText="1"/>
    </xf>
    <xf numFmtId="180" fontId="17" fillId="2" borderId="14" xfId="9" applyNumberFormat="1" applyFont="1" applyFill="1" applyBorder="1" applyAlignment="1">
      <alignment vertical="center" wrapText="1"/>
    </xf>
    <xf numFmtId="3" fontId="6" fillId="2" borderId="1" xfId="0" applyNumberFormat="1" applyFont="1" applyFill="1" applyBorder="1" applyAlignment="1" applyProtection="1">
      <alignment vertical="center"/>
    </xf>
    <xf numFmtId="181" fontId="30" fillId="2" borderId="14" xfId="9" applyNumberFormat="1" applyFont="1" applyFill="1" applyBorder="1" applyAlignment="1">
      <alignment vertical="center" wrapText="1"/>
    </xf>
    <xf numFmtId="0" fontId="2" fillId="2" borderId="1" xfId="2" applyFont="1" applyFill="1" applyBorder="1" applyAlignment="1">
      <alignment vertical="center" wrapText="1"/>
    </xf>
    <xf numFmtId="0" fontId="3" fillId="2" borderId="1" xfId="0" applyFont="1" applyFill="1" applyBorder="1" applyAlignment="1">
      <alignment vertical="center"/>
    </xf>
    <xf numFmtId="180" fontId="3" fillId="2" borderId="1" xfId="0" applyNumberFormat="1" applyFont="1" applyFill="1" applyBorder="1" applyAlignment="1">
      <alignment horizontal="distributed" vertical="center"/>
    </xf>
    <xf numFmtId="180" fontId="3" fillId="2" borderId="1" xfId="0" applyNumberFormat="1" applyFont="1" applyFill="1" applyBorder="1" applyAlignment="1">
      <alignment vertical="center"/>
    </xf>
    <xf numFmtId="180" fontId="17" fillId="2" borderId="14" xfId="9" applyNumberFormat="1" applyFont="1" applyFill="1" applyBorder="1" applyAlignment="1">
      <alignment horizontal="right" vertical="center" wrapText="1"/>
    </xf>
    <xf numFmtId="180" fontId="2" fillId="2" borderId="1" xfId="0" applyNumberFormat="1" applyFont="1" applyFill="1" applyBorder="1" applyAlignment="1" applyProtection="1">
      <alignment vertical="center"/>
      <protection locked="0"/>
    </xf>
    <xf numFmtId="180" fontId="31" fillId="2" borderId="14" xfId="2" applyNumberFormat="1" applyFont="1" applyFill="1" applyBorder="1" applyAlignment="1">
      <alignment vertical="center"/>
    </xf>
    <xf numFmtId="181" fontId="3" fillId="2" borderId="0" xfId="0" applyNumberFormat="1" applyFont="1" applyFill="1" applyAlignment="1">
      <alignment vertical="center"/>
    </xf>
    <xf numFmtId="180" fontId="3" fillId="2" borderId="1" xfId="0" applyNumberFormat="1" applyFont="1" applyFill="1" applyBorder="1" applyAlignment="1">
      <alignment horizontal="right" vertical="center"/>
    </xf>
    <xf numFmtId="180" fontId="3" fillId="2" borderId="3" xfId="0" applyNumberFormat="1" applyFont="1" applyFill="1" applyBorder="1" applyAlignment="1">
      <alignment horizontal="right" vertical="center"/>
    </xf>
    <xf numFmtId="180" fontId="2" fillId="2" borderId="1" xfId="0" applyNumberFormat="1" applyFont="1" applyFill="1" applyBorder="1" applyAlignment="1">
      <alignment horizontal="right" vertical="center"/>
    </xf>
    <xf numFmtId="180" fontId="21" fillId="2" borderId="15" xfId="9"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0" fontId="30" fillId="2" borderId="14" xfId="9" applyFont="1" applyFill="1" applyBorder="1" applyAlignment="1">
      <alignment horizontal="right" vertical="center"/>
    </xf>
    <xf numFmtId="0" fontId="2" fillId="2" borderId="1" xfId="0" applyFont="1" applyFill="1" applyBorder="1" applyAlignment="1">
      <alignment horizontal="right" vertical="center"/>
    </xf>
    <xf numFmtId="180" fontId="21" fillId="2" borderId="14" xfId="2" applyNumberFormat="1" applyFont="1" applyFill="1" applyBorder="1" applyAlignment="1">
      <alignment horizontal="right" vertical="center"/>
    </xf>
    <xf numFmtId="180" fontId="17" fillId="2" borderId="14" xfId="2" applyNumberFormat="1" applyFont="1" applyFill="1" applyBorder="1" applyAlignment="1">
      <alignment vertical="center"/>
    </xf>
    <xf numFmtId="180" fontId="17" fillId="2" borderId="14" xfId="0" applyNumberFormat="1" applyFont="1" applyFill="1" applyBorder="1" applyAlignment="1" applyProtection="1">
      <alignment vertical="center"/>
    </xf>
    <xf numFmtId="180" fontId="21" fillId="2" borderId="14" xfId="2" applyNumberFormat="1" applyFont="1" applyFill="1" applyBorder="1" applyAlignment="1">
      <alignment vertical="center"/>
    </xf>
    <xf numFmtId="180" fontId="2" fillId="2" borderId="0" xfId="0" applyNumberFormat="1" applyFont="1" applyFill="1" applyAlignment="1">
      <alignment vertical="center"/>
    </xf>
    <xf numFmtId="178" fontId="2" fillId="2" borderId="0" xfId="0" applyNumberFormat="1" applyFont="1" applyFill="1" applyAlignment="1">
      <alignment vertical="center"/>
    </xf>
    <xf numFmtId="178" fontId="3" fillId="2" borderId="13" xfId="0" applyNumberFormat="1" applyFont="1" applyFill="1" applyBorder="1" applyAlignment="1">
      <alignment horizontal="center" vertical="center" wrapText="1"/>
    </xf>
    <xf numFmtId="178" fontId="3" fillId="2" borderId="13" xfId="0" applyNumberFormat="1" applyFont="1" applyFill="1" applyBorder="1" applyAlignment="1">
      <alignment horizontal="center" vertical="center"/>
    </xf>
    <xf numFmtId="178" fontId="17" fillId="0" borderId="13" xfId="8" applyNumberFormat="1" applyFont="1" applyFill="1" applyBorder="1" applyAlignment="1" applyProtection="1">
      <alignment horizontal="right" vertical="center" wrapText="1"/>
    </xf>
    <xf numFmtId="178" fontId="17" fillId="2" borderId="14" xfId="0" applyNumberFormat="1" applyFont="1" applyFill="1" applyBorder="1" applyAlignment="1" applyProtection="1">
      <alignment horizontal="right" vertical="center"/>
    </xf>
    <xf numFmtId="178" fontId="2" fillId="2" borderId="13" xfId="0" applyNumberFormat="1" applyFont="1" applyFill="1" applyBorder="1" applyAlignment="1">
      <alignment vertical="center"/>
    </xf>
    <xf numFmtId="178" fontId="2" fillId="2" borderId="14" xfId="0" applyNumberFormat="1" applyFont="1" applyFill="1" applyBorder="1" applyAlignment="1">
      <alignment vertical="center"/>
    </xf>
    <xf numFmtId="178" fontId="3" fillId="2" borderId="14" xfId="0" applyNumberFormat="1" applyFont="1" applyFill="1" applyBorder="1" applyAlignment="1">
      <alignment vertical="center"/>
    </xf>
    <xf numFmtId="178" fontId="3" fillId="2" borderId="13" xfId="0" applyNumberFormat="1" applyFont="1" applyFill="1" applyBorder="1" applyAlignment="1">
      <alignment vertical="center"/>
    </xf>
    <xf numFmtId="178" fontId="2" fillId="2" borderId="13" xfId="0" applyNumberFormat="1" applyFont="1" applyFill="1" applyBorder="1" applyAlignment="1" applyProtection="1">
      <alignment vertical="center"/>
      <protection locked="0"/>
    </xf>
    <xf numFmtId="178" fontId="2" fillId="2" borderId="14" xfId="0" applyNumberFormat="1" applyFont="1" applyFill="1" applyBorder="1" applyAlignment="1" applyProtection="1">
      <alignment vertical="center"/>
      <protection locked="0"/>
    </xf>
    <xf numFmtId="178" fontId="17" fillId="2" borderId="15" xfId="0" applyNumberFormat="1" applyFont="1" applyFill="1" applyBorder="1" applyAlignment="1" applyProtection="1">
      <alignment horizontal="right" vertical="center"/>
    </xf>
    <xf numFmtId="178" fontId="17" fillId="2" borderId="10" xfId="0" applyNumberFormat="1" applyFont="1" applyFill="1" applyBorder="1" applyAlignment="1" applyProtection="1">
      <alignment horizontal="right" vertical="center"/>
    </xf>
    <xf numFmtId="178" fontId="6" fillId="2" borderId="13" xfId="0" applyNumberFormat="1" applyFont="1" applyFill="1" applyBorder="1" applyAlignment="1">
      <alignment vertical="center"/>
    </xf>
    <xf numFmtId="180" fontId="2" fillId="0" borderId="0" xfId="0" applyNumberFormat="1" applyFont="1" applyFill="1" applyAlignment="1">
      <alignment vertical="center"/>
    </xf>
    <xf numFmtId="180" fontId="3" fillId="0" borderId="3" xfId="0" applyNumberFormat="1" applyFont="1" applyFill="1" applyBorder="1" applyAlignment="1">
      <alignment horizontal="center" vertical="center"/>
    </xf>
    <xf numFmtId="180" fontId="2" fillId="0" borderId="1" xfId="0" applyNumberFormat="1" applyFont="1" applyFill="1" applyBorder="1" applyAlignment="1">
      <alignment vertical="center"/>
    </xf>
    <xf numFmtId="180" fontId="3" fillId="0" borderId="1" xfId="0" applyNumberFormat="1" applyFont="1" applyFill="1" applyBorder="1" applyAlignment="1">
      <alignment vertical="center"/>
    </xf>
    <xf numFmtId="180" fontId="2" fillId="0" borderId="0" xfId="0" applyNumberFormat="1" applyFont="1" applyFill="1" applyAlignment="1">
      <alignment horizontal="right" vertical="center"/>
    </xf>
    <xf numFmtId="180" fontId="2" fillId="0" borderId="3" xfId="0" applyNumberFormat="1" applyFont="1" applyFill="1" applyBorder="1" applyAlignment="1">
      <alignment horizontal="right" vertical="center"/>
    </xf>
    <xf numFmtId="180" fontId="2" fillId="0" borderId="0" xfId="0" applyNumberFormat="1" applyFont="1"/>
    <xf numFmtId="180" fontId="2" fillId="0" borderId="14" xfId="0" applyNumberFormat="1" applyFont="1" applyBorder="1"/>
    <xf numFmtId="180" fontId="2" fillId="0" borderId="1" xfId="0" applyNumberFormat="1" applyFont="1" applyBorder="1"/>
    <xf numFmtId="178" fontId="2" fillId="0" borderId="3" xfId="0" applyNumberFormat="1" applyFont="1" applyFill="1" applyBorder="1" applyAlignment="1">
      <alignment vertical="center"/>
    </xf>
    <xf numFmtId="178" fontId="2" fillId="0" borderId="1" xfId="0" applyNumberFormat="1" applyFont="1" applyFill="1" applyBorder="1"/>
    <xf numFmtId="179" fontId="17" fillId="2" borderId="14" xfId="8" applyNumberFormat="1" applyFont="1" applyFill="1" applyBorder="1" applyAlignment="1">
      <alignment vertical="center"/>
    </xf>
    <xf numFmtId="180" fontId="18" fillId="2" borderId="14" xfId="2" applyNumberFormat="1" applyFont="1" applyFill="1" applyBorder="1" applyAlignment="1">
      <alignment vertical="center"/>
    </xf>
    <xf numFmtId="180" fontId="17" fillId="2" borderId="14" xfId="9" applyNumberFormat="1" applyFont="1" applyFill="1" applyBorder="1" applyAlignment="1">
      <alignment vertical="center"/>
    </xf>
    <xf numFmtId="0" fontId="32" fillId="0" borderId="0" xfId="0" applyFont="1" applyFill="1" applyAlignment="1">
      <alignment vertical="center"/>
    </xf>
    <xf numFmtId="180" fontId="29" fillId="0" borderId="0" xfId="4" applyNumberFormat="1" applyFont="1" applyFill="1"/>
    <xf numFmtId="180" fontId="34" fillId="0" borderId="0" xfId="4" applyNumberFormat="1" applyFont="1" applyFill="1"/>
    <xf numFmtId="0" fontId="5" fillId="0" borderId="0" xfId="4" applyNumberFormat="1" applyFont="1" applyFill="1" applyAlignment="1" applyProtection="1">
      <alignment horizontal="right" vertical="center"/>
    </xf>
    <xf numFmtId="180" fontId="29" fillId="0" borderId="0" xfId="4" applyNumberFormat="1" applyFont="1" applyFill="1" applyAlignment="1" applyProtection="1">
      <alignment horizontal="right" vertical="center"/>
    </xf>
    <xf numFmtId="180" fontId="29" fillId="0" borderId="1" xfId="4" applyNumberFormat="1" applyFont="1" applyFill="1" applyBorder="1" applyAlignment="1" applyProtection="1">
      <alignment horizontal="centerContinuous" vertical="center" wrapText="1"/>
    </xf>
    <xf numFmtId="180" fontId="29" fillId="0" borderId="1" xfId="4" applyNumberFormat="1" applyFont="1" applyFill="1" applyBorder="1" applyAlignment="1" applyProtection="1">
      <alignment horizontal="center" vertical="center" wrapText="1"/>
    </xf>
    <xf numFmtId="0" fontId="29" fillId="0" borderId="1" xfId="4" applyFont="1" applyFill="1" applyBorder="1" applyAlignment="1">
      <alignment vertical="center"/>
    </xf>
    <xf numFmtId="180" fontId="29" fillId="0" borderId="1" xfId="4" applyNumberFormat="1" applyFont="1" applyFill="1" applyBorder="1" applyAlignment="1" applyProtection="1">
      <alignment horizontal="right" vertical="center"/>
    </xf>
    <xf numFmtId="3" fontId="29" fillId="0" borderId="1" xfId="4" applyNumberFormat="1" applyFont="1" applyFill="1" applyBorder="1" applyAlignment="1" applyProtection="1">
      <alignment vertical="center"/>
    </xf>
    <xf numFmtId="0" fontId="29" fillId="0" borderId="14" xfId="4" applyFont="1" applyFill="1" applyBorder="1" applyAlignment="1">
      <alignment horizontal="left" vertical="center" wrapText="1" indent="1"/>
    </xf>
    <xf numFmtId="180" fontId="28" fillId="0" borderId="14" xfId="4" applyNumberFormat="1" applyFont="1" applyFill="1" applyBorder="1" applyAlignment="1" applyProtection="1">
      <alignment horizontal="right" vertical="center" wrapText="1"/>
    </xf>
    <xf numFmtId="180" fontId="28" fillId="0" borderId="14" xfId="4" applyNumberFormat="1" applyFont="1" applyFill="1" applyBorder="1" applyAlignment="1">
      <alignment horizontal="right" wrapText="1"/>
    </xf>
    <xf numFmtId="0" fontId="29" fillId="0" borderId="14" xfId="4" applyFont="1" applyFill="1" applyBorder="1" applyAlignment="1">
      <alignment horizontal="left" vertical="center" wrapText="1" indent="2"/>
    </xf>
    <xf numFmtId="180" fontId="28" fillId="0" borderId="14" xfId="0" applyNumberFormat="1" applyFont="1" applyFill="1" applyBorder="1" applyAlignment="1">
      <alignment horizontal="right" wrapText="1"/>
    </xf>
    <xf numFmtId="180" fontId="28" fillId="0" borderId="14" xfId="4" applyNumberFormat="1" applyFont="1" applyFill="1" applyBorder="1" applyAlignment="1">
      <alignment horizontal="right" vertical="center" wrapText="1"/>
    </xf>
    <xf numFmtId="0" fontId="29" fillId="0" borderId="14" xfId="4" applyFont="1" applyFill="1" applyBorder="1" applyAlignment="1">
      <alignment horizontal="left" vertical="center" indent="1"/>
    </xf>
    <xf numFmtId="180" fontId="28" fillId="0" borderId="14" xfId="4" applyNumberFormat="1" applyFont="1" applyFill="1" applyBorder="1"/>
    <xf numFmtId="0" fontId="29" fillId="0" borderId="14" xfId="4" applyFont="1" applyFill="1" applyBorder="1" applyAlignment="1">
      <alignment horizontal="left" vertical="center" indent="2"/>
    </xf>
    <xf numFmtId="0" fontId="29" fillId="0" borderId="14" xfId="4" applyFont="1" applyFill="1" applyBorder="1" applyAlignment="1">
      <alignment horizontal="left" indent="2"/>
    </xf>
    <xf numFmtId="178" fontId="29" fillId="0" borderId="14" xfId="4" applyNumberFormat="1" applyFont="1" applyFill="1" applyBorder="1" applyAlignment="1">
      <alignment horizontal="left" vertical="center" indent="1"/>
    </xf>
    <xf numFmtId="178" fontId="29" fillId="0" borderId="14" xfId="4" applyNumberFormat="1" applyFont="1" applyFill="1" applyBorder="1" applyAlignment="1">
      <alignment horizontal="left" vertical="center" indent="2"/>
    </xf>
    <xf numFmtId="180" fontId="28" fillId="0" borderId="14" xfId="2" applyNumberFormat="1" applyFont="1" applyFill="1" applyBorder="1" applyAlignment="1">
      <alignment vertical="center"/>
    </xf>
    <xf numFmtId="180" fontId="28" fillId="0" borderId="14" xfId="4" applyNumberFormat="1" applyFont="1" applyFill="1" applyBorder="1" applyAlignment="1"/>
    <xf numFmtId="3" fontId="29" fillId="0" borderId="14" xfId="4" applyNumberFormat="1" applyFont="1" applyFill="1" applyBorder="1" applyAlignment="1" applyProtection="1">
      <alignment horizontal="left" vertical="center" indent="1"/>
    </xf>
    <xf numFmtId="180" fontId="28" fillId="0" borderId="14" xfId="4" applyNumberFormat="1" applyFont="1" applyFill="1" applyBorder="1" applyAlignment="1" applyProtection="1">
      <alignment horizontal="right" vertical="center"/>
    </xf>
    <xf numFmtId="3" fontId="29" fillId="0" borderId="14" xfId="4" applyNumberFormat="1" applyFont="1" applyFill="1" applyBorder="1" applyAlignment="1" applyProtection="1">
      <alignment horizontal="left" vertical="center" indent="2"/>
    </xf>
    <xf numFmtId="178" fontId="29" fillId="0" borderId="14" xfId="4" applyNumberFormat="1" applyFont="1" applyFill="1" applyBorder="1" applyAlignment="1">
      <alignment horizontal="left" vertical="center" wrapText="1" indent="1"/>
    </xf>
    <xf numFmtId="178" fontId="29" fillId="0" borderId="14" xfId="4" applyNumberFormat="1" applyFont="1" applyFill="1" applyBorder="1" applyAlignment="1">
      <alignment horizontal="left" vertical="center" wrapText="1" indent="2"/>
    </xf>
    <xf numFmtId="180" fontId="28" fillId="0" borderId="14" xfId="2" applyNumberFormat="1" applyFont="1" applyFill="1" applyBorder="1" applyAlignment="1">
      <alignment horizontal="right" vertical="center" wrapText="1"/>
    </xf>
    <xf numFmtId="180" fontId="28" fillId="0" borderId="0" xfId="4" applyNumberFormat="1" applyFont="1" applyFill="1" applyBorder="1" applyAlignment="1"/>
    <xf numFmtId="180" fontId="29" fillId="0" borderId="14" xfId="4" applyNumberFormat="1" applyFont="1" applyFill="1" applyBorder="1"/>
    <xf numFmtId="0" fontId="29" fillId="0" borderId="14" xfId="4" applyFont="1" applyFill="1" applyBorder="1" applyAlignment="1">
      <alignment horizontal="left" indent="1"/>
    </xf>
    <xf numFmtId="180" fontId="29" fillId="0" borderId="14" xfId="4" applyNumberFormat="1" applyFont="1" applyFill="1" applyBorder="1" applyAlignment="1" applyProtection="1">
      <alignment horizontal="right" vertical="center"/>
    </xf>
    <xf numFmtId="180" fontId="28" fillId="0" borderId="14" xfId="0" applyNumberFormat="1" applyFont="1" applyFill="1" applyBorder="1" applyAlignment="1">
      <alignment horizontal="center" vertical="center"/>
    </xf>
    <xf numFmtId="180" fontId="28" fillId="0" borderId="14" xfId="0" applyNumberFormat="1" applyFont="1" applyFill="1" applyBorder="1" applyAlignment="1">
      <alignment horizontal="right" vertical="center"/>
    </xf>
    <xf numFmtId="180" fontId="28" fillId="0" borderId="0" xfId="0" applyNumberFormat="1" applyFont="1" applyFill="1" applyAlignment="1">
      <alignment horizontal="right" vertical="center"/>
    </xf>
    <xf numFmtId="0" fontId="1" fillId="0" borderId="0" xfId="0" applyFont="1" applyFill="1" applyAlignment="1">
      <alignment horizontal="center" vertical="center"/>
    </xf>
    <xf numFmtId="0" fontId="2" fillId="0" borderId="11" xfId="0" applyFont="1" applyFill="1" applyBorder="1" applyAlignment="1">
      <alignment horizontal="left" vertical="center" wrapText="1"/>
    </xf>
    <xf numFmtId="0" fontId="1" fillId="2" borderId="0" xfId="0" applyFont="1" applyFill="1" applyAlignment="1">
      <alignment horizontal="center" vertical="center"/>
    </xf>
    <xf numFmtId="0" fontId="1" fillId="0" borderId="0" xfId="0" applyFont="1" applyFill="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7" xfId="0" applyFont="1" applyFill="1" applyBorder="1" applyAlignment="1">
      <alignment horizontal="center" vertical="center"/>
    </xf>
    <xf numFmtId="0" fontId="33" fillId="0" borderId="0" xfId="0" applyFont="1" applyFill="1" applyAlignment="1">
      <alignment horizontal="center" vertical="center"/>
    </xf>
    <xf numFmtId="180" fontId="29" fillId="0" borderId="6" xfId="4" applyNumberFormat="1" applyFont="1" applyFill="1" applyBorder="1" applyAlignment="1" applyProtection="1">
      <alignment horizontal="center" vertical="center" wrapText="1"/>
    </xf>
    <xf numFmtId="180" fontId="29" fillId="0" borderId="8" xfId="4" applyNumberFormat="1" applyFont="1" applyFill="1" applyBorder="1" applyAlignment="1" applyProtection="1">
      <alignment horizontal="center" vertical="center" wrapText="1"/>
    </xf>
    <xf numFmtId="180" fontId="29" fillId="0" borderId="7" xfId="4" applyNumberFormat="1" applyFont="1" applyFill="1" applyBorder="1" applyAlignment="1" applyProtection="1">
      <alignment horizontal="center" vertical="center" wrapText="1"/>
    </xf>
    <xf numFmtId="0" fontId="5" fillId="0" borderId="2" xfId="4" applyNumberFormat="1" applyFont="1" applyFill="1" applyBorder="1" applyAlignment="1" applyProtection="1">
      <alignment horizontal="center" vertical="center"/>
    </xf>
    <xf numFmtId="0" fontId="5" fillId="0" borderId="10" xfId="4" applyNumberFormat="1" applyFont="1" applyFill="1" applyBorder="1" applyAlignment="1" applyProtection="1">
      <alignment horizontal="center" vertical="center"/>
    </xf>
    <xf numFmtId="0" fontId="5" fillId="0" borderId="3" xfId="4" applyNumberFormat="1" applyFont="1" applyFill="1" applyBorder="1" applyAlignment="1" applyProtection="1">
      <alignment horizontal="center" vertical="center"/>
    </xf>
    <xf numFmtId="180" fontId="29" fillId="0" borderId="2" xfId="4" applyNumberFormat="1" applyFont="1" applyFill="1" applyBorder="1" applyAlignment="1" applyProtection="1">
      <alignment horizontal="center" vertical="center" wrapText="1"/>
    </xf>
    <xf numFmtId="180" fontId="29" fillId="0" borderId="3" xfId="4" applyNumberFormat="1" applyFont="1" applyFill="1" applyBorder="1" applyAlignment="1" applyProtection="1">
      <alignment horizontal="center" vertical="center" wrapText="1"/>
    </xf>
    <xf numFmtId="0" fontId="2" fillId="0" borderId="2" xfId="4" applyNumberFormat="1" applyFont="1" applyFill="1" applyBorder="1" applyAlignment="1" applyProtection="1">
      <alignment horizontal="center" vertical="center"/>
    </xf>
    <xf numFmtId="0" fontId="2" fillId="0" borderId="10" xfId="4" applyNumberFormat="1" applyFont="1" applyFill="1" applyBorder="1" applyAlignment="1" applyProtection="1">
      <alignment horizontal="center" vertical="center"/>
    </xf>
    <xf numFmtId="0" fontId="2" fillId="0" borderId="9" xfId="4" applyNumberFormat="1" applyFont="1" applyFill="1" applyBorder="1" applyAlignment="1" applyProtection="1">
      <alignment horizontal="right" vertical="center"/>
    </xf>
    <xf numFmtId="178" fontId="2" fillId="0" borderId="1" xfId="4" applyNumberFormat="1" applyFont="1" applyFill="1" applyBorder="1" applyAlignment="1" applyProtection="1">
      <alignment horizontal="center" vertical="center" wrapText="1"/>
    </xf>
    <xf numFmtId="0" fontId="2" fillId="0" borderId="3" xfId="4" applyNumberFormat="1" applyFont="1" applyFill="1" applyBorder="1" applyAlignment="1" applyProtection="1">
      <alignment horizontal="center" vertical="center"/>
    </xf>
    <xf numFmtId="178" fontId="2" fillId="2" borderId="2" xfId="4" applyNumberFormat="1" applyFont="1" applyFill="1" applyBorder="1" applyAlignment="1" applyProtection="1">
      <alignment horizontal="center" vertical="center" wrapText="1"/>
    </xf>
    <xf numFmtId="178" fontId="2" fillId="2" borderId="3" xfId="4" applyNumberFormat="1" applyFont="1" applyFill="1" applyBorder="1" applyAlignment="1" applyProtection="1">
      <alignment horizontal="center" vertical="center" wrapText="1"/>
    </xf>
    <xf numFmtId="0" fontId="2" fillId="0" borderId="1" xfId="4" applyNumberFormat="1" applyFont="1" applyFill="1" applyBorder="1" applyAlignment="1" applyProtection="1">
      <alignment horizontal="center" vertical="center" wrapText="1"/>
    </xf>
    <xf numFmtId="0" fontId="1" fillId="0" borderId="0" xfId="4" applyNumberFormat="1" applyFont="1" applyFill="1" applyAlignment="1" applyProtection="1">
      <alignment horizontal="center" vertical="center"/>
    </xf>
    <xf numFmtId="0" fontId="3" fillId="0" borderId="9" xfId="4" applyNumberFormat="1" applyFont="1" applyFill="1" applyBorder="1" applyAlignment="1" applyProtection="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xf>
    <xf numFmtId="0" fontId="3" fillId="0" borderId="2" xfId="0" applyFont="1" applyFill="1" applyBorder="1" applyAlignment="1">
      <alignment horizontal="center" vertical="center" wrapText="1"/>
    </xf>
    <xf numFmtId="0" fontId="2" fillId="0" borderId="3" xfId="0" applyFont="1" applyFill="1" applyBorder="1" applyAlignment="1">
      <alignment horizontal="center" wrapText="1"/>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cellXfs>
  <cellStyles count="11">
    <cellStyle name="百分比 2" xfId="1"/>
    <cellStyle name="常规" xfId="0" builtinId="0"/>
    <cellStyle name="常规 10" xfId="7"/>
    <cellStyle name="常规 11 2 5" xfId="10"/>
    <cellStyle name="常规 2" xfId="2"/>
    <cellStyle name="常规 2 2" xfId="5"/>
    <cellStyle name="常规 3" xfId="6"/>
    <cellStyle name="常规 3 2" xfId="3"/>
    <cellStyle name="常规 4" xfId="4"/>
    <cellStyle name="常规_甘泉堡" xfId="9"/>
    <cellStyle name="千位分隔" xfId="8"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B6"/>
  <sheetViews>
    <sheetView showGridLines="0" showZeros="0" workbookViewId="0">
      <selection activeCell="A3" sqref="A3"/>
    </sheetView>
  </sheetViews>
  <sheetFormatPr defaultColWidth="9" defaultRowHeight="14.25"/>
  <cols>
    <col min="1" max="1" width="148.375" style="80" customWidth="1"/>
    <col min="2" max="2" width="9" style="80" hidden="1" customWidth="1"/>
    <col min="3" max="16384" width="9" style="80"/>
  </cols>
  <sheetData>
    <row r="1" spans="1:2" ht="36.75" customHeight="1">
      <c r="A1" s="83" t="s">
        <v>0</v>
      </c>
      <c r="B1" s="80" t="s">
        <v>1</v>
      </c>
    </row>
    <row r="2" spans="1:2" ht="52.5" customHeight="1">
      <c r="A2" s="84"/>
      <c r="B2" s="80" t="s">
        <v>2</v>
      </c>
    </row>
    <row r="3" spans="1:2" ht="178.5" customHeight="1">
      <c r="A3" s="85" t="s">
        <v>3</v>
      </c>
      <c r="B3" s="80" t="s">
        <v>4</v>
      </c>
    </row>
    <row r="4" spans="1:2" ht="51.75" customHeight="1">
      <c r="A4" s="85" t="s">
        <v>0</v>
      </c>
      <c r="B4" s="80" t="s">
        <v>5</v>
      </c>
    </row>
    <row r="5" spans="1:2" ht="33" customHeight="1">
      <c r="A5" s="86"/>
      <c r="B5" s="80" t="s">
        <v>6</v>
      </c>
    </row>
    <row r="6" spans="1:2" ht="42" customHeight="1">
      <c r="A6" s="86"/>
      <c r="B6" s="80" t="s">
        <v>7</v>
      </c>
    </row>
  </sheetData>
  <phoneticPr fontId="14" type="noConversion"/>
  <printOptions horizontalCentered="1"/>
  <pageMargins left="0.75" right="0.75" top="0.98" bottom="0.98" header="0.51" footer="0.51"/>
  <pageSetup paperSize="9" orientation="landscape"/>
  <headerFooter alignWithMargins="0"/>
</worksheet>
</file>

<file path=xl/worksheets/sheet10.xml><?xml version="1.0" encoding="utf-8"?>
<worksheet xmlns="http://schemas.openxmlformats.org/spreadsheetml/2006/main" xmlns:r="http://schemas.openxmlformats.org/officeDocument/2006/relationships">
  <dimension ref="A1:AL152"/>
  <sheetViews>
    <sheetView showGridLines="0" showZeros="0" topLeftCell="A4" workbookViewId="0">
      <pane xSplit="2" ySplit="2" topLeftCell="V6" activePane="bottomRight" state="frozen"/>
      <selection activeCell="A4" sqref="A4"/>
      <selection pane="topRight" activeCell="C4" sqref="C4"/>
      <selection pane="bottomLeft" activeCell="A6" sqref="A6"/>
      <selection pane="bottomRight" activeCell="AC17" sqref="AC17"/>
    </sheetView>
  </sheetViews>
  <sheetFormatPr defaultColWidth="5.75" defaultRowHeight="13.5"/>
  <cols>
    <col min="1" max="1" width="24.25" style="36" bestFit="1" customWidth="1"/>
    <col min="2" max="2" width="11.25" style="232" bestFit="1" customWidth="1"/>
    <col min="3" max="3" width="11.25" style="137" bestFit="1" customWidth="1"/>
    <col min="4" max="4" width="8.5" style="137" bestFit="1" customWidth="1"/>
    <col min="5" max="6" width="10.25" style="137" bestFit="1" customWidth="1"/>
    <col min="7" max="7" width="8.5" style="137" bestFit="1" customWidth="1"/>
    <col min="8" max="9" width="7.625" style="137" bestFit="1" customWidth="1"/>
    <col min="10" max="10" width="7.625" style="201" bestFit="1" customWidth="1"/>
    <col min="11" max="11" width="8.5" style="137" bestFit="1" customWidth="1"/>
    <col min="12" max="12" width="10.25" style="201" bestFit="1" customWidth="1"/>
    <col min="13" max="13" width="4.5" style="201" customWidth="1"/>
    <col min="14" max="14" width="10.25" style="201" bestFit="1" customWidth="1"/>
    <col min="15" max="15" width="8.5" style="137" bestFit="1" customWidth="1"/>
    <col min="16" max="16" width="10.25" style="137" bestFit="1" customWidth="1"/>
    <col min="17" max="17" width="7.625" style="137" bestFit="1" customWidth="1"/>
    <col min="18" max="18" width="4.75" style="137" customWidth="1"/>
    <col min="19" max="19" width="6.75" style="201" bestFit="1" customWidth="1"/>
    <col min="20" max="20" width="8.5" style="201" bestFit="1" customWidth="1"/>
    <col min="21" max="21" width="10.25" style="201" bestFit="1" customWidth="1"/>
    <col min="22" max="22" width="6.75" style="201" bestFit="1" customWidth="1"/>
    <col min="23" max="23" width="7.625" style="137" bestFit="1" customWidth="1"/>
    <col min="24" max="25" width="10.25" style="137" bestFit="1" customWidth="1"/>
    <col min="26" max="26" width="8.5" style="137" bestFit="1" customWidth="1"/>
    <col min="27" max="27" width="6.75" style="137" bestFit="1" customWidth="1"/>
    <col min="28" max="29" width="10.25" style="137" bestFit="1" customWidth="1"/>
    <col min="30" max="31" width="6.75" style="137" bestFit="1" customWidth="1"/>
    <col min="32" max="32" width="5.5" style="137" customWidth="1"/>
    <col min="33" max="33" width="6.375" style="137" customWidth="1"/>
    <col min="34" max="34" width="8.5" style="137" bestFit="1" customWidth="1"/>
    <col min="35" max="36" width="6.75" style="137" bestFit="1" customWidth="1"/>
    <col min="37" max="37" width="5" style="137" bestFit="1" customWidth="1"/>
    <col min="38" max="38" width="8.5" style="137" bestFit="1" customWidth="1"/>
    <col min="39" max="16384" width="5.75" style="36"/>
  </cols>
  <sheetData>
    <row r="1" spans="1:38" ht="14.25">
      <c r="A1" s="26" t="s">
        <v>1222</v>
      </c>
    </row>
    <row r="2" spans="1:38" s="35" customFormat="1" ht="28.5" customHeight="1">
      <c r="A2" s="351" t="s">
        <v>1223</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row>
    <row r="3" spans="1:38" ht="17.100000000000001" customHeight="1">
      <c r="A3" s="373" t="s">
        <v>22</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row>
    <row r="4" spans="1:38" ht="31.5" customHeight="1">
      <c r="A4" s="371" t="s">
        <v>1164</v>
      </c>
      <c r="B4" s="376" t="s">
        <v>1224</v>
      </c>
      <c r="C4" s="374" t="s">
        <v>1225</v>
      </c>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row>
    <row r="5" spans="1:38" ht="123.75" customHeight="1">
      <c r="A5" s="375"/>
      <c r="B5" s="377"/>
      <c r="C5" s="219" t="s">
        <v>1226</v>
      </c>
      <c r="D5" s="202" t="s">
        <v>1227</v>
      </c>
      <c r="E5" s="202" t="s">
        <v>1228</v>
      </c>
      <c r="F5" s="202" t="s">
        <v>1229</v>
      </c>
      <c r="G5" s="202" t="s">
        <v>1230</v>
      </c>
      <c r="H5" s="202" t="s">
        <v>1231</v>
      </c>
      <c r="I5" s="202" t="s">
        <v>1232</v>
      </c>
      <c r="J5" s="202" t="s">
        <v>1233</v>
      </c>
      <c r="K5" s="202" t="s">
        <v>1234</v>
      </c>
      <c r="L5" s="202" t="s">
        <v>1235</v>
      </c>
      <c r="M5" s="202" t="s">
        <v>1236</v>
      </c>
      <c r="N5" s="202" t="s">
        <v>1237</v>
      </c>
      <c r="O5" s="202" t="s">
        <v>1238</v>
      </c>
      <c r="P5" s="202" t="s">
        <v>1239</v>
      </c>
      <c r="Q5" s="203" t="s">
        <v>1240</v>
      </c>
      <c r="R5" s="203" t="s">
        <v>1241</v>
      </c>
      <c r="S5" s="203" t="s">
        <v>1242</v>
      </c>
      <c r="T5" s="203" t="s">
        <v>1243</v>
      </c>
      <c r="U5" s="203" t="s">
        <v>1244</v>
      </c>
      <c r="V5" s="203" t="s">
        <v>1245</v>
      </c>
      <c r="W5" s="203" t="s">
        <v>1246</v>
      </c>
      <c r="X5" s="203" t="s">
        <v>1247</v>
      </c>
      <c r="Y5" s="203" t="s">
        <v>1248</v>
      </c>
      <c r="Z5" s="203" t="s">
        <v>1249</v>
      </c>
      <c r="AA5" s="203" t="s">
        <v>1250</v>
      </c>
      <c r="AB5" s="203" t="s">
        <v>1251</v>
      </c>
      <c r="AC5" s="203" t="s">
        <v>1252</v>
      </c>
      <c r="AD5" s="203" t="s">
        <v>1253</v>
      </c>
      <c r="AE5" s="203" t="s">
        <v>1254</v>
      </c>
      <c r="AF5" s="203" t="s">
        <v>1255</v>
      </c>
      <c r="AG5" s="203" t="s">
        <v>1256</v>
      </c>
      <c r="AH5" s="203" t="s">
        <v>1257</v>
      </c>
      <c r="AI5" s="203" t="s">
        <v>1258</v>
      </c>
      <c r="AJ5" s="203" t="s">
        <v>1259</v>
      </c>
      <c r="AK5" s="203" t="s">
        <v>1260</v>
      </c>
      <c r="AL5" s="202" t="s">
        <v>1261</v>
      </c>
    </row>
    <row r="6" spans="1:38" ht="17.25" customHeight="1">
      <c r="A6" s="158" t="s">
        <v>1645</v>
      </c>
      <c r="B6" s="233">
        <f>C6+'表七(2)'!B6</f>
        <v>26768402</v>
      </c>
      <c r="C6" s="204">
        <v>26108201</v>
      </c>
      <c r="D6" s="204">
        <v>193723</v>
      </c>
      <c r="E6" s="204">
        <v>7800500</v>
      </c>
      <c r="F6" s="204">
        <v>980627</v>
      </c>
      <c r="G6" s="204">
        <v>415452</v>
      </c>
      <c r="H6" s="204">
        <v>10500</v>
      </c>
      <c r="I6" s="204">
        <v>95232</v>
      </c>
      <c r="J6" s="204">
        <v>72749</v>
      </c>
      <c r="K6" s="204">
        <v>406700</v>
      </c>
      <c r="L6" s="204">
        <v>3042611</v>
      </c>
      <c r="M6" s="204"/>
      <c r="N6" s="204">
        <v>1281269</v>
      </c>
      <c r="O6" s="204">
        <v>377900</v>
      </c>
      <c r="P6" s="204">
        <v>1020099</v>
      </c>
      <c r="Q6" s="204"/>
      <c r="R6" s="204"/>
      <c r="S6" s="204"/>
      <c r="T6" s="204">
        <v>263100</v>
      </c>
      <c r="U6" s="204">
        <v>1087259</v>
      </c>
      <c r="V6" s="204">
        <v>3480</v>
      </c>
      <c r="W6" s="204">
        <v>69468</v>
      </c>
      <c r="X6" s="205">
        <v>2491666</v>
      </c>
      <c r="Y6" s="205">
        <v>1058905</v>
      </c>
      <c r="Z6" s="205">
        <v>290859</v>
      </c>
      <c r="AA6" s="205"/>
      <c r="AB6" s="205">
        <v>3122856</v>
      </c>
      <c r="AC6" s="205">
        <v>1772412</v>
      </c>
      <c r="AD6" s="205"/>
      <c r="AE6" s="205"/>
      <c r="AF6" s="205"/>
      <c r="AG6" s="205"/>
      <c r="AH6" s="205">
        <v>201499</v>
      </c>
      <c r="AI6" s="205">
        <v>42755</v>
      </c>
      <c r="AJ6" s="205">
        <v>1181</v>
      </c>
      <c r="AK6" s="205"/>
      <c r="AL6" s="205">
        <v>5399</v>
      </c>
    </row>
    <row r="7" spans="1:38" ht="17.25" customHeight="1">
      <c r="A7" s="158" t="s">
        <v>1668</v>
      </c>
      <c r="B7" s="233">
        <f>C7+'表七(2)'!B7</f>
        <v>8191682.0799999982</v>
      </c>
      <c r="C7" s="204">
        <f>C6-C8</f>
        <v>8491723.0799999982</v>
      </c>
      <c r="D7" s="204">
        <f t="shared" ref="D7:AL7" si="0">D6-D8</f>
        <v>-155061</v>
      </c>
      <c r="E7" s="204">
        <f t="shared" si="0"/>
        <v>5473992</v>
      </c>
      <c r="F7" s="204">
        <f t="shared" si="0"/>
        <v>-315010</v>
      </c>
      <c r="G7" s="204">
        <f t="shared" si="0"/>
        <v>354182</v>
      </c>
      <c r="H7" s="204">
        <f t="shared" si="0"/>
        <v>-446</v>
      </c>
      <c r="I7" s="204">
        <f t="shared" si="0"/>
        <v>28961</v>
      </c>
      <c r="J7" s="204">
        <f t="shared" si="0"/>
        <v>2508</v>
      </c>
      <c r="K7" s="204">
        <f t="shared" si="0"/>
        <v>-5474</v>
      </c>
      <c r="L7" s="204">
        <f t="shared" si="0"/>
        <v>92867</v>
      </c>
      <c r="M7" s="204">
        <f t="shared" si="0"/>
        <v>0</v>
      </c>
      <c r="N7" s="204">
        <f t="shared" si="0"/>
        <v>1269956</v>
      </c>
      <c r="O7" s="204">
        <f t="shared" si="0"/>
        <v>-1638</v>
      </c>
      <c r="P7" s="204">
        <f t="shared" si="0"/>
        <v>-250365</v>
      </c>
      <c r="Q7" s="204">
        <f t="shared" si="0"/>
        <v>-76059</v>
      </c>
      <c r="R7" s="204">
        <f t="shared" si="0"/>
        <v>0</v>
      </c>
      <c r="S7" s="204">
        <f t="shared" si="0"/>
        <v>-7853</v>
      </c>
      <c r="T7" s="204">
        <f t="shared" si="0"/>
        <v>-35448.989999999991</v>
      </c>
      <c r="U7" s="204">
        <f t="shared" si="0"/>
        <v>-429591.12000000011</v>
      </c>
      <c r="V7" s="204">
        <f t="shared" si="0"/>
        <v>247</v>
      </c>
      <c r="W7" s="204">
        <f t="shared" si="0"/>
        <v>-14321.89</v>
      </c>
      <c r="X7" s="204">
        <f t="shared" si="0"/>
        <v>934947.57000000007</v>
      </c>
      <c r="Y7" s="204">
        <f t="shared" si="0"/>
        <v>-262540.12999999989</v>
      </c>
      <c r="Z7" s="204">
        <f t="shared" si="0"/>
        <v>16269</v>
      </c>
      <c r="AA7" s="204">
        <f t="shared" si="0"/>
        <v>-5176.82</v>
      </c>
      <c r="AB7" s="204">
        <f t="shared" si="0"/>
        <v>1068223.46</v>
      </c>
      <c r="AC7" s="204">
        <f t="shared" si="0"/>
        <v>888584</v>
      </c>
      <c r="AD7" s="204">
        <f t="shared" si="0"/>
        <v>-3330</v>
      </c>
      <c r="AE7" s="204">
        <f t="shared" si="0"/>
        <v>-2303</v>
      </c>
      <c r="AF7" s="204">
        <f t="shared" si="0"/>
        <v>0</v>
      </c>
      <c r="AG7" s="204">
        <f t="shared" si="0"/>
        <v>0</v>
      </c>
      <c r="AH7" s="204">
        <f t="shared" si="0"/>
        <v>36217</v>
      </c>
      <c r="AI7" s="204">
        <f t="shared" si="0"/>
        <v>41223</v>
      </c>
      <c r="AJ7" s="204">
        <f t="shared" si="0"/>
        <v>152</v>
      </c>
      <c r="AK7" s="204">
        <f t="shared" si="0"/>
        <v>-229</v>
      </c>
      <c r="AL7" s="204">
        <f t="shared" si="0"/>
        <v>-151759</v>
      </c>
    </row>
    <row r="8" spans="1:38" ht="17.25" customHeight="1">
      <c r="A8" s="159" t="s">
        <v>1669</v>
      </c>
      <c r="B8" s="234">
        <f t="shared" ref="B8:AL8" si="1">SUM(B9,B21,B28,B43,B53,B63,B70,B82,B95,B108,B115,B130,B141,B147)</f>
        <v>18576719.920000002</v>
      </c>
      <c r="C8" s="206">
        <f t="shared" si="1"/>
        <v>17616477.920000002</v>
      </c>
      <c r="D8" s="206">
        <f t="shared" si="1"/>
        <v>348784</v>
      </c>
      <c r="E8" s="206">
        <f t="shared" si="1"/>
        <v>2326508</v>
      </c>
      <c r="F8" s="206">
        <f t="shared" si="1"/>
        <v>1295637</v>
      </c>
      <c r="G8" s="206">
        <f t="shared" si="1"/>
        <v>61270</v>
      </c>
      <c r="H8" s="206">
        <f t="shared" si="1"/>
        <v>10946</v>
      </c>
      <c r="I8" s="206">
        <f t="shared" si="1"/>
        <v>66271</v>
      </c>
      <c r="J8" s="206">
        <f t="shared" si="1"/>
        <v>70241</v>
      </c>
      <c r="K8" s="206">
        <f t="shared" si="1"/>
        <v>412174</v>
      </c>
      <c r="L8" s="206">
        <f t="shared" si="1"/>
        <v>2949744</v>
      </c>
      <c r="M8" s="206">
        <f t="shared" si="1"/>
        <v>0</v>
      </c>
      <c r="N8" s="206">
        <f t="shared" si="1"/>
        <v>11313</v>
      </c>
      <c r="O8" s="206">
        <f t="shared" si="1"/>
        <v>379538</v>
      </c>
      <c r="P8" s="206">
        <f t="shared" si="1"/>
        <v>1270464</v>
      </c>
      <c r="Q8" s="206">
        <f t="shared" si="1"/>
        <v>76059</v>
      </c>
      <c r="R8" s="206">
        <f t="shared" si="1"/>
        <v>0</v>
      </c>
      <c r="S8" s="206">
        <f t="shared" si="1"/>
        <v>7853</v>
      </c>
      <c r="T8" s="206">
        <f t="shared" si="1"/>
        <v>298548.99</v>
      </c>
      <c r="U8" s="206">
        <f t="shared" si="1"/>
        <v>1516850.12</v>
      </c>
      <c r="V8" s="206">
        <f t="shared" si="1"/>
        <v>3233</v>
      </c>
      <c r="W8" s="206">
        <f t="shared" si="1"/>
        <v>83789.89</v>
      </c>
      <c r="X8" s="206">
        <f t="shared" si="1"/>
        <v>1556718.43</v>
      </c>
      <c r="Y8" s="206">
        <f t="shared" si="1"/>
        <v>1321445.1299999999</v>
      </c>
      <c r="Z8" s="206">
        <f t="shared" si="1"/>
        <v>274590</v>
      </c>
      <c r="AA8" s="206">
        <f t="shared" si="1"/>
        <v>5176.82</v>
      </c>
      <c r="AB8" s="206">
        <f t="shared" si="1"/>
        <v>2054632.54</v>
      </c>
      <c r="AC8" s="206">
        <f t="shared" si="1"/>
        <v>883828</v>
      </c>
      <c r="AD8" s="206">
        <f t="shared" si="1"/>
        <v>3330</v>
      </c>
      <c r="AE8" s="206">
        <f t="shared" si="1"/>
        <v>2303</v>
      </c>
      <c r="AF8" s="206">
        <f t="shared" si="1"/>
        <v>0</v>
      </c>
      <c r="AG8" s="206">
        <f t="shared" si="1"/>
        <v>0</v>
      </c>
      <c r="AH8" s="206">
        <f t="shared" si="1"/>
        <v>165282</v>
      </c>
      <c r="AI8" s="206">
        <f t="shared" si="1"/>
        <v>1532</v>
      </c>
      <c r="AJ8" s="206">
        <f t="shared" si="1"/>
        <v>1029</v>
      </c>
      <c r="AK8" s="206">
        <f t="shared" si="1"/>
        <v>229</v>
      </c>
      <c r="AL8" s="206">
        <f t="shared" si="1"/>
        <v>157158</v>
      </c>
    </row>
    <row r="9" spans="1:38" s="130" customFormat="1" ht="17.25" customHeight="1">
      <c r="A9" s="160" t="s">
        <v>1550</v>
      </c>
      <c r="B9" s="233">
        <f>C9+'表七(2)'!B9</f>
        <v>505451</v>
      </c>
      <c r="C9" s="207">
        <f>SUM(C10:C11)</f>
        <v>470994</v>
      </c>
      <c r="D9" s="207">
        <f t="shared" ref="D9:AL9" si="2">SUM(D10:D11)</f>
        <v>23655</v>
      </c>
      <c r="E9" s="207">
        <f t="shared" si="2"/>
        <v>19851</v>
      </c>
      <c r="F9" s="207">
        <f t="shared" si="2"/>
        <v>3190</v>
      </c>
      <c r="G9" s="207">
        <f t="shared" si="2"/>
        <v>0</v>
      </c>
      <c r="H9" s="207">
        <f t="shared" si="2"/>
        <v>0</v>
      </c>
      <c r="I9" s="207">
        <f t="shared" si="2"/>
        <v>13778</v>
      </c>
      <c r="J9" s="207">
        <f t="shared" si="2"/>
        <v>0</v>
      </c>
      <c r="K9" s="207">
        <f t="shared" si="2"/>
        <v>0</v>
      </c>
      <c r="L9" s="207">
        <f t="shared" si="2"/>
        <v>81540</v>
      </c>
      <c r="M9" s="207">
        <f t="shared" si="2"/>
        <v>0</v>
      </c>
      <c r="N9" s="207">
        <f t="shared" si="2"/>
        <v>0</v>
      </c>
      <c r="O9" s="207">
        <f t="shared" si="2"/>
        <v>0</v>
      </c>
      <c r="P9" s="207">
        <f t="shared" si="2"/>
        <v>0</v>
      </c>
      <c r="Q9" s="207">
        <f t="shared" si="2"/>
        <v>883</v>
      </c>
      <c r="R9" s="207">
        <f t="shared" si="2"/>
        <v>0</v>
      </c>
      <c r="S9" s="207">
        <f t="shared" si="2"/>
        <v>661</v>
      </c>
      <c r="T9" s="207">
        <f t="shared" si="2"/>
        <v>62987</v>
      </c>
      <c r="U9" s="207">
        <f t="shared" si="2"/>
        <v>52626</v>
      </c>
      <c r="V9" s="207">
        <f t="shared" si="2"/>
        <v>476</v>
      </c>
      <c r="W9" s="207">
        <f t="shared" si="2"/>
        <v>4838</v>
      </c>
      <c r="X9" s="207">
        <f t="shared" si="2"/>
        <v>94016</v>
      </c>
      <c r="Y9" s="207">
        <f t="shared" si="2"/>
        <v>74141</v>
      </c>
      <c r="Z9" s="207">
        <f t="shared" si="2"/>
        <v>8960</v>
      </c>
      <c r="AA9" s="207">
        <f t="shared" si="2"/>
        <v>0</v>
      </c>
      <c r="AB9" s="207">
        <f t="shared" si="2"/>
        <v>17291</v>
      </c>
      <c r="AC9" s="207">
        <f t="shared" si="2"/>
        <v>3999</v>
      </c>
      <c r="AD9" s="207">
        <f t="shared" si="2"/>
        <v>0</v>
      </c>
      <c r="AE9" s="207">
        <f t="shared" si="2"/>
        <v>0</v>
      </c>
      <c r="AF9" s="207">
        <f t="shared" si="2"/>
        <v>0</v>
      </c>
      <c r="AG9" s="207">
        <f t="shared" si="2"/>
        <v>0</v>
      </c>
      <c r="AH9" s="207">
        <f t="shared" si="2"/>
        <v>8102</v>
      </c>
      <c r="AI9" s="207">
        <f t="shared" si="2"/>
        <v>0</v>
      </c>
      <c r="AJ9" s="207">
        <f t="shared" si="2"/>
        <v>0</v>
      </c>
      <c r="AK9" s="207">
        <f t="shared" si="2"/>
        <v>0</v>
      </c>
      <c r="AL9" s="207">
        <f t="shared" si="2"/>
        <v>0</v>
      </c>
    </row>
    <row r="10" spans="1:38" s="130" customFormat="1" ht="17.25" customHeight="1">
      <c r="A10" s="166" t="s">
        <v>1193</v>
      </c>
      <c r="B10" s="233">
        <f>C10+'表七(2)'!B10</f>
        <v>252828</v>
      </c>
      <c r="C10" s="207">
        <f>SUM(D10:AL10)</f>
        <v>220439</v>
      </c>
      <c r="D10" s="207">
        <v>-21380</v>
      </c>
      <c r="E10" s="207">
        <v>7844</v>
      </c>
      <c r="F10" s="207">
        <v>57</v>
      </c>
      <c r="G10" s="207">
        <v>-16000</v>
      </c>
      <c r="H10" s="207"/>
      <c r="I10" s="207">
        <v>10057</v>
      </c>
      <c r="J10" s="207"/>
      <c r="K10" s="207"/>
      <c r="L10" s="207">
        <v>32092</v>
      </c>
      <c r="M10" s="207"/>
      <c r="N10" s="207"/>
      <c r="O10" s="207"/>
      <c r="P10" s="207"/>
      <c r="Q10" s="207">
        <v>249</v>
      </c>
      <c r="R10" s="207"/>
      <c r="S10" s="207">
        <v>661</v>
      </c>
      <c r="T10" s="207">
        <v>47477</v>
      </c>
      <c r="U10" s="207">
        <v>25698</v>
      </c>
      <c r="V10" s="207">
        <v>476</v>
      </c>
      <c r="W10" s="207">
        <v>4037</v>
      </c>
      <c r="X10" s="207">
        <v>74959</v>
      </c>
      <c r="Y10" s="207">
        <v>70780</v>
      </c>
      <c r="Z10" s="207">
        <v>8876</v>
      </c>
      <c r="AA10" s="207"/>
      <c r="AB10" s="207">
        <v>2235</v>
      </c>
      <c r="AC10" s="207">
        <v>3999</v>
      </c>
      <c r="AD10" s="207"/>
      <c r="AE10" s="207"/>
      <c r="AF10" s="207"/>
      <c r="AG10" s="207"/>
      <c r="AH10" s="207">
        <v>8102</v>
      </c>
      <c r="AI10" s="207"/>
      <c r="AJ10" s="207"/>
      <c r="AK10" s="207"/>
      <c r="AL10" s="207">
        <v>-39780</v>
      </c>
    </row>
    <row r="11" spans="1:38" s="130" customFormat="1" ht="17.25" customHeight="1">
      <c r="A11" s="166" t="s">
        <v>1551</v>
      </c>
      <c r="B11" s="204">
        <f>C11+'表七(2)'!B11</f>
        <v>252623</v>
      </c>
      <c r="C11" s="207">
        <f>SUM(D11:AL11)</f>
        <v>250555</v>
      </c>
      <c r="D11" s="207">
        <f>SUM(D12:D20)</f>
        <v>45035</v>
      </c>
      <c r="E11" s="207">
        <f t="shared" ref="E11:AL11" si="3">SUM(E12:E20)</f>
        <v>12007</v>
      </c>
      <c r="F11" s="207">
        <f t="shared" si="3"/>
        <v>3133</v>
      </c>
      <c r="G11" s="207">
        <f t="shared" si="3"/>
        <v>16000</v>
      </c>
      <c r="H11" s="207">
        <f t="shared" si="3"/>
        <v>0</v>
      </c>
      <c r="I11" s="207">
        <f t="shared" si="3"/>
        <v>3721</v>
      </c>
      <c r="J11" s="207">
        <f t="shared" si="3"/>
        <v>0</v>
      </c>
      <c r="K11" s="207">
        <f t="shared" si="3"/>
        <v>0</v>
      </c>
      <c r="L11" s="207">
        <f t="shared" si="3"/>
        <v>49448</v>
      </c>
      <c r="M11" s="207">
        <f t="shared" si="3"/>
        <v>0</v>
      </c>
      <c r="N11" s="207">
        <f t="shared" si="3"/>
        <v>0</v>
      </c>
      <c r="O11" s="207">
        <f t="shared" si="3"/>
        <v>0</v>
      </c>
      <c r="P11" s="207">
        <f t="shared" si="3"/>
        <v>0</v>
      </c>
      <c r="Q11" s="207">
        <f t="shared" si="3"/>
        <v>634</v>
      </c>
      <c r="R11" s="207">
        <f t="shared" si="3"/>
        <v>0</v>
      </c>
      <c r="S11" s="207">
        <f t="shared" si="3"/>
        <v>0</v>
      </c>
      <c r="T11" s="207">
        <f t="shared" si="3"/>
        <v>15510</v>
      </c>
      <c r="U11" s="207">
        <f t="shared" si="3"/>
        <v>26928</v>
      </c>
      <c r="V11" s="207">
        <f t="shared" si="3"/>
        <v>0</v>
      </c>
      <c r="W11" s="207">
        <f t="shared" si="3"/>
        <v>801</v>
      </c>
      <c r="X11" s="207">
        <f t="shared" si="3"/>
        <v>19057</v>
      </c>
      <c r="Y11" s="207">
        <f t="shared" si="3"/>
        <v>3361</v>
      </c>
      <c r="Z11" s="207">
        <f t="shared" si="3"/>
        <v>84</v>
      </c>
      <c r="AA11" s="207">
        <f t="shared" si="3"/>
        <v>0</v>
      </c>
      <c r="AB11" s="207">
        <f t="shared" si="3"/>
        <v>15056</v>
      </c>
      <c r="AC11" s="207">
        <f t="shared" si="3"/>
        <v>0</v>
      </c>
      <c r="AD11" s="207">
        <f t="shared" si="3"/>
        <v>0</v>
      </c>
      <c r="AE11" s="207">
        <f t="shared" si="3"/>
        <v>0</v>
      </c>
      <c r="AF11" s="207">
        <f t="shared" si="3"/>
        <v>0</v>
      </c>
      <c r="AG11" s="207">
        <f t="shared" si="3"/>
        <v>0</v>
      </c>
      <c r="AH11" s="207">
        <f t="shared" si="3"/>
        <v>0</v>
      </c>
      <c r="AI11" s="207">
        <f t="shared" si="3"/>
        <v>0</v>
      </c>
      <c r="AJ11" s="207">
        <f t="shared" si="3"/>
        <v>0</v>
      </c>
      <c r="AK11" s="207">
        <f t="shared" si="3"/>
        <v>0</v>
      </c>
      <c r="AL11" s="207">
        <f t="shared" si="3"/>
        <v>39780</v>
      </c>
    </row>
    <row r="12" spans="1:38" s="130" customFormat="1" ht="17.25" customHeight="1">
      <c r="A12" s="166" t="s">
        <v>1552</v>
      </c>
      <c r="B12" s="233">
        <f>C12+'表七(2)'!B12</f>
        <v>50187</v>
      </c>
      <c r="C12" s="207">
        <f>SUM(D12:AL12)</f>
        <v>50187</v>
      </c>
      <c r="D12" s="207">
        <v>12989</v>
      </c>
      <c r="E12" s="207">
        <v>2677</v>
      </c>
      <c r="F12" s="207">
        <v>2631</v>
      </c>
      <c r="G12" s="207"/>
      <c r="H12" s="207"/>
      <c r="I12" s="207"/>
      <c r="J12" s="207"/>
      <c r="K12" s="207"/>
      <c r="L12" s="207">
        <v>6801</v>
      </c>
      <c r="M12" s="207"/>
      <c r="N12" s="207"/>
      <c r="O12" s="207"/>
      <c r="P12" s="207"/>
      <c r="Q12" s="207">
        <v>144</v>
      </c>
      <c r="R12" s="207"/>
      <c r="S12" s="207"/>
      <c r="T12" s="207">
        <v>686</v>
      </c>
      <c r="U12" s="207">
        <v>1912</v>
      </c>
      <c r="V12" s="207"/>
      <c r="W12" s="207">
        <v>63</v>
      </c>
      <c r="X12" s="207">
        <v>230</v>
      </c>
      <c r="Y12" s="207">
        <v>137</v>
      </c>
      <c r="Z12" s="207">
        <v>83</v>
      </c>
      <c r="AA12" s="207"/>
      <c r="AB12" s="207">
        <v>5200</v>
      </c>
      <c r="AC12" s="207"/>
      <c r="AD12" s="207"/>
      <c r="AE12" s="207"/>
      <c r="AF12" s="207"/>
      <c r="AG12" s="207"/>
      <c r="AH12" s="207"/>
      <c r="AI12" s="207"/>
      <c r="AJ12" s="207"/>
      <c r="AK12" s="207"/>
      <c r="AL12" s="207">
        <v>16634</v>
      </c>
    </row>
    <row r="13" spans="1:38" s="130" customFormat="1" ht="17.25" customHeight="1">
      <c r="A13" s="166" t="s">
        <v>1553</v>
      </c>
      <c r="B13" s="233">
        <f>C13+'表七(2)'!B13</f>
        <v>52763</v>
      </c>
      <c r="C13" s="207">
        <f t="shared" ref="C13:C20" si="4">SUM(D13:AL13)</f>
        <v>52763</v>
      </c>
      <c r="D13" s="198">
        <v>6644</v>
      </c>
      <c r="E13" s="198">
        <v>1623</v>
      </c>
      <c r="F13" s="198">
        <v>1</v>
      </c>
      <c r="G13" s="198">
        <v>10000</v>
      </c>
      <c r="H13" s="198"/>
      <c r="I13" s="198">
        <v>200</v>
      </c>
      <c r="J13" s="198"/>
      <c r="K13" s="198"/>
      <c r="L13" s="198">
        <v>10325</v>
      </c>
      <c r="M13" s="198"/>
      <c r="N13" s="198"/>
      <c r="O13" s="198"/>
      <c r="P13" s="198"/>
      <c r="Q13" s="198">
        <v>64</v>
      </c>
      <c r="R13" s="198"/>
      <c r="S13" s="198"/>
      <c r="T13" s="198">
        <v>3575</v>
      </c>
      <c r="U13" s="198">
        <v>4602</v>
      </c>
      <c r="V13" s="198"/>
      <c r="W13" s="198">
        <v>126</v>
      </c>
      <c r="X13" s="198">
        <v>7638</v>
      </c>
      <c r="Y13" s="198">
        <v>532</v>
      </c>
      <c r="Z13" s="198"/>
      <c r="AA13" s="198"/>
      <c r="AB13" s="198">
        <v>369</v>
      </c>
      <c r="AC13" s="198"/>
      <c r="AD13" s="198"/>
      <c r="AE13" s="198"/>
      <c r="AF13" s="198"/>
      <c r="AG13" s="198"/>
      <c r="AH13" s="198"/>
      <c r="AI13" s="198"/>
      <c r="AJ13" s="198"/>
      <c r="AK13" s="198"/>
      <c r="AL13" s="198">
        <v>7064</v>
      </c>
    </row>
    <row r="14" spans="1:38" s="130" customFormat="1" ht="17.25" customHeight="1">
      <c r="A14" s="166" t="s">
        <v>1554</v>
      </c>
      <c r="B14" s="233">
        <f>C14+'表七(2)'!B14</f>
        <v>37624</v>
      </c>
      <c r="C14" s="207">
        <f t="shared" si="4"/>
        <v>37624</v>
      </c>
      <c r="D14" s="207">
        <v>6107</v>
      </c>
      <c r="E14" s="207">
        <v>3252</v>
      </c>
      <c r="F14" s="207">
        <v>3</v>
      </c>
      <c r="G14" s="207"/>
      <c r="H14" s="207"/>
      <c r="I14" s="208">
        <v>421</v>
      </c>
      <c r="J14" s="207"/>
      <c r="K14" s="207"/>
      <c r="L14" s="208">
        <v>9805</v>
      </c>
      <c r="M14" s="207"/>
      <c r="N14" s="208"/>
      <c r="O14" s="207"/>
      <c r="P14" s="208"/>
      <c r="Q14" s="209">
        <v>70</v>
      </c>
      <c r="R14" s="207"/>
      <c r="S14" s="207"/>
      <c r="T14" s="209">
        <v>2977</v>
      </c>
      <c r="U14" s="209">
        <v>3926</v>
      </c>
      <c r="V14" s="207"/>
      <c r="W14" s="209">
        <v>110</v>
      </c>
      <c r="X14" s="209">
        <v>3994</v>
      </c>
      <c r="Y14" s="209">
        <v>609</v>
      </c>
      <c r="Z14" s="207"/>
      <c r="AA14" s="207"/>
      <c r="AB14" s="209">
        <v>34</v>
      </c>
      <c r="AC14" s="207"/>
      <c r="AD14" s="207"/>
      <c r="AE14" s="207"/>
      <c r="AF14" s="207"/>
      <c r="AG14" s="207"/>
      <c r="AH14" s="209"/>
      <c r="AI14" s="207"/>
      <c r="AJ14" s="209"/>
      <c r="AK14" s="207"/>
      <c r="AL14" s="209">
        <v>6316</v>
      </c>
    </row>
    <row r="15" spans="1:38" s="130" customFormat="1" ht="17.25" customHeight="1">
      <c r="A15" s="166" t="s">
        <v>1555</v>
      </c>
      <c r="B15" s="233">
        <f>C15+'表七(2)'!B15</f>
        <v>18560</v>
      </c>
      <c r="C15" s="207">
        <f t="shared" si="4"/>
        <v>18560</v>
      </c>
      <c r="D15" s="210">
        <v>3927</v>
      </c>
      <c r="E15" s="210">
        <v>348</v>
      </c>
      <c r="F15" s="210">
        <v>28</v>
      </c>
      <c r="G15" s="210"/>
      <c r="H15" s="210"/>
      <c r="I15" s="210">
        <v>557</v>
      </c>
      <c r="J15" s="210"/>
      <c r="K15" s="210"/>
      <c r="L15" s="210">
        <v>2927</v>
      </c>
      <c r="M15" s="210"/>
      <c r="N15" s="210"/>
      <c r="O15" s="210"/>
      <c r="P15" s="210"/>
      <c r="Q15" s="210">
        <v>38</v>
      </c>
      <c r="R15" s="210"/>
      <c r="S15" s="210"/>
      <c r="T15" s="210">
        <v>2059</v>
      </c>
      <c r="U15" s="210">
        <v>2469</v>
      </c>
      <c r="V15" s="210"/>
      <c r="W15" s="210">
        <v>86</v>
      </c>
      <c r="X15" s="210">
        <v>2926</v>
      </c>
      <c r="Y15" s="210">
        <v>292</v>
      </c>
      <c r="Z15" s="210"/>
      <c r="AA15" s="210"/>
      <c r="AB15" s="210">
        <v>358</v>
      </c>
      <c r="AC15" s="210"/>
      <c r="AD15" s="210"/>
      <c r="AE15" s="210"/>
      <c r="AF15" s="210"/>
      <c r="AG15" s="210"/>
      <c r="AH15" s="210"/>
      <c r="AI15" s="210"/>
      <c r="AJ15" s="210"/>
      <c r="AK15" s="210"/>
      <c r="AL15" s="210">
        <v>2545</v>
      </c>
    </row>
    <row r="16" spans="1:38" s="130" customFormat="1" ht="17.25" customHeight="1">
      <c r="A16" s="166" t="s">
        <v>1556</v>
      </c>
      <c r="B16" s="233">
        <f>C16+'表七(2)'!B16</f>
        <v>32919</v>
      </c>
      <c r="C16" s="207">
        <f t="shared" si="4"/>
        <v>32919</v>
      </c>
      <c r="D16" s="207">
        <v>3818</v>
      </c>
      <c r="E16" s="207">
        <v>1514</v>
      </c>
      <c r="F16" s="207">
        <v>271</v>
      </c>
      <c r="G16" s="207"/>
      <c r="H16" s="207"/>
      <c r="I16" s="207">
        <v>1722</v>
      </c>
      <c r="J16" s="207"/>
      <c r="K16" s="207"/>
      <c r="L16" s="207">
        <v>10203</v>
      </c>
      <c r="M16" s="207"/>
      <c r="N16" s="207"/>
      <c r="O16" s="207"/>
      <c r="P16" s="207"/>
      <c r="Q16" s="207">
        <v>103</v>
      </c>
      <c r="R16" s="207"/>
      <c r="S16" s="207"/>
      <c r="T16" s="207">
        <v>1758</v>
      </c>
      <c r="U16" s="207">
        <v>5457</v>
      </c>
      <c r="V16" s="207"/>
      <c r="W16" s="207">
        <v>139</v>
      </c>
      <c r="X16" s="207">
        <v>1241</v>
      </c>
      <c r="Y16" s="207">
        <v>523</v>
      </c>
      <c r="Z16" s="207"/>
      <c r="AA16" s="207"/>
      <c r="AB16" s="207">
        <v>4576</v>
      </c>
      <c r="AC16" s="207"/>
      <c r="AD16" s="207"/>
      <c r="AE16" s="207"/>
      <c r="AF16" s="207"/>
      <c r="AG16" s="207"/>
      <c r="AH16" s="207"/>
      <c r="AI16" s="207"/>
      <c r="AJ16" s="207"/>
      <c r="AK16" s="207"/>
      <c r="AL16" s="207">
        <v>1594</v>
      </c>
    </row>
    <row r="17" spans="1:38" s="130" customFormat="1" ht="17.25" customHeight="1">
      <c r="A17" s="166" t="s">
        <v>1557</v>
      </c>
      <c r="B17" s="233">
        <f>C17+'表七(2)'!B17</f>
        <v>19321</v>
      </c>
      <c r="C17" s="207">
        <f t="shared" si="4"/>
        <v>19321</v>
      </c>
      <c r="D17" s="207">
        <v>3624</v>
      </c>
      <c r="E17" s="207">
        <v>669</v>
      </c>
      <c r="F17" s="207">
        <v>105</v>
      </c>
      <c r="G17" s="207">
        <v>6000</v>
      </c>
      <c r="H17" s="207"/>
      <c r="I17" s="207"/>
      <c r="J17" s="207"/>
      <c r="K17" s="207"/>
      <c r="L17" s="207">
        <v>2770</v>
      </c>
      <c r="M17" s="207"/>
      <c r="N17" s="207"/>
      <c r="O17" s="207"/>
      <c r="P17" s="207"/>
      <c r="Q17" s="207">
        <v>113</v>
      </c>
      <c r="R17" s="207"/>
      <c r="S17" s="207"/>
      <c r="T17" s="207">
        <v>562</v>
      </c>
      <c r="U17" s="207">
        <v>808</v>
      </c>
      <c r="V17" s="207"/>
      <c r="W17" s="207">
        <v>91</v>
      </c>
      <c r="X17" s="207">
        <v>153</v>
      </c>
      <c r="Y17" s="207">
        <v>78</v>
      </c>
      <c r="Z17" s="207"/>
      <c r="AA17" s="207"/>
      <c r="AB17" s="207">
        <v>2932</v>
      </c>
      <c r="AC17" s="207"/>
      <c r="AD17" s="207"/>
      <c r="AE17" s="207"/>
      <c r="AF17" s="207"/>
      <c r="AG17" s="207"/>
      <c r="AH17" s="207"/>
      <c r="AI17" s="207"/>
      <c r="AJ17" s="207"/>
      <c r="AK17" s="207"/>
      <c r="AL17" s="207">
        <v>1416</v>
      </c>
    </row>
    <row r="18" spans="1:38" s="130" customFormat="1" ht="15.95" customHeight="1">
      <c r="A18" s="166" t="s">
        <v>1558</v>
      </c>
      <c r="B18" s="233">
        <f>C18+'表七(2)'!B18</f>
        <v>27371</v>
      </c>
      <c r="C18" s="207">
        <f t="shared" si="4"/>
        <v>26323</v>
      </c>
      <c r="D18" s="207">
        <v>5493</v>
      </c>
      <c r="E18" s="207">
        <v>1252</v>
      </c>
      <c r="F18" s="207">
        <v>89</v>
      </c>
      <c r="G18" s="207"/>
      <c r="H18" s="207"/>
      <c r="I18" s="207">
        <v>422</v>
      </c>
      <c r="J18" s="207"/>
      <c r="K18" s="207"/>
      <c r="L18" s="207">
        <v>4202</v>
      </c>
      <c r="M18" s="207"/>
      <c r="N18" s="207"/>
      <c r="O18" s="207"/>
      <c r="P18" s="207"/>
      <c r="Q18" s="207">
        <v>76</v>
      </c>
      <c r="R18" s="207"/>
      <c r="S18" s="207"/>
      <c r="T18" s="207">
        <v>2580</v>
      </c>
      <c r="U18" s="207">
        <v>4699</v>
      </c>
      <c r="V18" s="207"/>
      <c r="W18" s="207">
        <v>112</v>
      </c>
      <c r="X18" s="207">
        <v>2330</v>
      </c>
      <c r="Y18" s="207">
        <v>1030</v>
      </c>
      <c r="Z18" s="207">
        <v>1</v>
      </c>
      <c r="AA18" s="207"/>
      <c r="AB18" s="207">
        <v>1206</v>
      </c>
      <c r="AC18" s="207"/>
      <c r="AD18" s="207"/>
      <c r="AE18" s="207"/>
      <c r="AF18" s="207"/>
      <c r="AG18" s="207"/>
      <c r="AH18" s="207"/>
      <c r="AI18" s="207"/>
      <c r="AJ18" s="207"/>
      <c r="AK18" s="207"/>
      <c r="AL18" s="207">
        <v>2831</v>
      </c>
    </row>
    <row r="19" spans="1:38" s="130" customFormat="1" ht="15.95" customHeight="1">
      <c r="A19" s="166" t="s">
        <v>1559</v>
      </c>
      <c r="B19" s="233">
        <f>C19+'表七(2)'!B19</f>
        <v>12725</v>
      </c>
      <c r="C19" s="207">
        <f t="shared" si="4"/>
        <v>12705</v>
      </c>
      <c r="D19" s="207">
        <v>2429</v>
      </c>
      <c r="E19" s="207">
        <v>672</v>
      </c>
      <c r="F19" s="207">
        <v>5</v>
      </c>
      <c r="G19" s="207"/>
      <c r="H19" s="207"/>
      <c r="I19" s="207">
        <v>399</v>
      </c>
      <c r="J19" s="207"/>
      <c r="K19" s="207"/>
      <c r="L19" s="207">
        <v>2415</v>
      </c>
      <c r="M19" s="207"/>
      <c r="N19" s="207"/>
      <c r="O19" s="207"/>
      <c r="P19" s="207"/>
      <c r="Q19" s="207">
        <v>26</v>
      </c>
      <c r="R19" s="207"/>
      <c r="S19" s="207"/>
      <c r="T19" s="207">
        <v>1216</v>
      </c>
      <c r="U19" s="207">
        <v>3055</v>
      </c>
      <c r="V19" s="207"/>
      <c r="W19" s="207">
        <v>74</v>
      </c>
      <c r="X19" s="207">
        <v>545</v>
      </c>
      <c r="Y19" s="207">
        <v>160</v>
      </c>
      <c r="Z19" s="207"/>
      <c r="AA19" s="207"/>
      <c r="AB19" s="207">
        <v>381</v>
      </c>
      <c r="AC19" s="207"/>
      <c r="AD19" s="207"/>
      <c r="AE19" s="207"/>
      <c r="AF19" s="207"/>
      <c r="AG19" s="207"/>
      <c r="AH19" s="207"/>
      <c r="AI19" s="207"/>
      <c r="AJ19" s="207"/>
      <c r="AK19" s="207"/>
      <c r="AL19" s="207">
        <v>1328</v>
      </c>
    </row>
    <row r="20" spans="1:38" s="131" customFormat="1" ht="15.95" customHeight="1">
      <c r="A20" s="166" t="s">
        <v>1560</v>
      </c>
      <c r="B20" s="233">
        <f>C20+'表七(2)'!B20</f>
        <v>1153</v>
      </c>
      <c r="C20" s="207">
        <f t="shared" si="4"/>
        <v>153</v>
      </c>
      <c r="D20" s="207">
        <v>4</v>
      </c>
      <c r="E20" s="207"/>
      <c r="F20" s="207"/>
      <c r="G20" s="207"/>
      <c r="H20" s="207"/>
      <c r="I20" s="207"/>
      <c r="J20" s="207"/>
      <c r="K20" s="207"/>
      <c r="L20" s="207"/>
      <c r="M20" s="207"/>
      <c r="N20" s="207"/>
      <c r="O20" s="207"/>
      <c r="P20" s="207"/>
      <c r="Q20" s="207"/>
      <c r="R20" s="207"/>
      <c r="S20" s="207"/>
      <c r="T20" s="207">
        <v>97</v>
      </c>
      <c r="U20" s="207"/>
      <c r="V20" s="207"/>
      <c r="W20" s="207"/>
      <c r="X20" s="207"/>
      <c r="Y20" s="207"/>
      <c r="Z20" s="207"/>
      <c r="AA20" s="207"/>
      <c r="AB20" s="207"/>
      <c r="AC20" s="207"/>
      <c r="AD20" s="207"/>
      <c r="AE20" s="207"/>
      <c r="AF20" s="207"/>
      <c r="AG20" s="207"/>
      <c r="AH20" s="207"/>
      <c r="AI20" s="207"/>
      <c r="AJ20" s="207"/>
      <c r="AK20" s="207"/>
      <c r="AL20" s="207">
        <v>52</v>
      </c>
    </row>
    <row r="21" spans="1:38" s="132" customFormat="1" ht="17.25" customHeight="1">
      <c r="A21" s="161" t="s">
        <v>1561</v>
      </c>
      <c r="B21" s="233">
        <f>C21+'表七(2)'!B21</f>
        <v>120396.92</v>
      </c>
      <c r="C21" s="195">
        <f>SUM(D21:AL21)</f>
        <v>118423.92</v>
      </c>
      <c r="D21" s="195">
        <v>6584</v>
      </c>
      <c r="E21" s="195">
        <v>4983</v>
      </c>
      <c r="F21" s="195">
        <v>64</v>
      </c>
      <c r="G21" s="195"/>
      <c r="H21" s="195"/>
      <c r="I21" s="195">
        <v>31866</v>
      </c>
      <c r="J21" s="195"/>
      <c r="K21" s="195"/>
      <c r="L21" s="195">
        <v>19996</v>
      </c>
      <c r="M21" s="195"/>
      <c r="N21" s="195"/>
      <c r="O21" s="195"/>
      <c r="P21" s="195"/>
      <c r="Q21" s="195">
        <v>474</v>
      </c>
      <c r="R21" s="195"/>
      <c r="S21" s="195">
        <v>110</v>
      </c>
      <c r="T21" s="195">
        <v>6202.99</v>
      </c>
      <c r="U21" s="195">
        <v>13953.12</v>
      </c>
      <c r="V21" s="195">
        <v>402</v>
      </c>
      <c r="W21" s="195">
        <v>2548.89</v>
      </c>
      <c r="X21" s="195">
        <v>12422.43</v>
      </c>
      <c r="Y21" s="195">
        <v>9890.1299999999992</v>
      </c>
      <c r="Z21" s="195">
        <v>26</v>
      </c>
      <c r="AA21" s="195">
        <v>5176.82</v>
      </c>
      <c r="AB21" s="195">
        <v>486.54</v>
      </c>
      <c r="AC21" s="195"/>
      <c r="AD21" s="195"/>
      <c r="AE21" s="195"/>
      <c r="AF21" s="195"/>
      <c r="AG21" s="195"/>
      <c r="AH21" s="195">
        <v>3238</v>
      </c>
      <c r="AI21" s="195"/>
      <c r="AJ21" s="195"/>
      <c r="AK21" s="195"/>
      <c r="AL21" s="195"/>
    </row>
    <row r="22" spans="1:38" s="132" customFormat="1" ht="17.25" customHeight="1">
      <c r="A22" s="167" t="s">
        <v>1562</v>
      </c>
      <c r="B22" s="233">
        <f>C22+'表七(2)'!B22</f>
        <v>-69367.61</v>
      </c>
      <c r="C22" s="195">
        <f>C21-C23</f>
        <v>-70883.61</v>
      </c>
      <c r="D22" s="195">
        <f t="shared" ref="D22:AL22" si="5">D21-D23</f>
        <v>4392.4699999999993</v>
      </c>
      <c r="E22" s="195">
        <f t="shared" si="5"/>
        <v>-140902</v>
      </c>
      <c r="F22" s="195">
        <f t="shared" si="5"/>
        <v>20</v>
      </c>
      <c r="G22" s="195">
        <f t="shared" si="5"/>
        <v>-35</v>
      </c>
      <c r="H22" s="195">
        <f t="shared" si="5"/>
        <v>0</v>
      </c>
      <c r="I22" s="195">
        <f t="shared" si="5"/>
        <v>28003</v>
      </c>
      <c r="J22" s="195">
        <f t="shared" si="5"/>
        <v>0</v>
      </c>
      <c r="K22" s="195">
        <f t="shared" si="5"/>
        <v>0</v>
      </c>
      <c r="L22" s="195">
        <f t="shared" si="5"/>
        <v>12248</v>
      </c>
      <c r="M22" s="195">
        <f t="shared" si="5"/>
        <v>0</v>
      </c>
      <c r="N22" s="195">
        <f t="shared" si="5"/>
        <v>0</v>
      </c>
      <c r="O22" s="195">
        <f t="shared" si="5"/>
        <v>0</v>
      </c>
      <c r="P22" s="195">
        <f t="shared" si="5"/>
        <v>0</v>
      </c>
      <c r="Q22" s="195">
        <f t="shared" si="5"/>
        <v>318</v>
      </c>
      <c r="R22" s="195">
        <f t="shared" si="5"/>
        <v>0</v>
      </c>
      <c r="S22" s="195">
        <f t="shared" si="5"/>
        <v>110</v>
      </c>
      <c r="T22" s="195">
        <f t="shared" si="5"/>
        <v>3219.99</v>
      </c>
      <c r="U22" s="195">
        <f t="shared" si="5"/>
        <v>7257.1200000000008</v>
      </c>
      <c r="V22" s="195">
        <f t="shared" si="5"/>
        <v>402</v>
      </c>
      <c r="W22" s="195">
        <f t="shared" si="5"/>
        <v>2223.89</v>
      </c>
      <c r="X22" s="195">
        <f t="shared" si="5"/>
        <v>5196.43</v>
      </c>
      <c r="Y22" s="195">
        <f t="shared" si="5"/>
        <v>6067.1299999999992</v>
      </c>
      <c r="Z22" s="195">
        <f t="shared" si="5"/>
        <v>16</v>
      </c>
      <c r="AA22" s="195">
        <f t="shared" si="5"/>
        <v>5176.82</v>
      </c>
      <c r="AB22" s="195">
        <f t="shared" si="5"/>
        <v>-4497.46</v>
      </c>
      <c r="AC22" s="195">
        <f t="shared" si="5"/>
        <v>-100</v>
      </c>
      <c r="AD22" s="195">
        <f t="shared" si="5"/>
        <v>0</v>
      </c>
      <c r="AE22" s="195">
        <f t="shared" si="5"/>
        <v>0</v>
      </c>
      <c r="AF22" s="195">
        <f t="shared" si="5"/>
        <v>0</v>
      </c>
      <c r="AG22" s="195">
        <f t="shared" si="5"/>
        <v>0</v>
      </c>
      <c r="AH22" s="195">
        <f t="shared" si="5"/>
        <v>0</v>
      </c>
      <c r="AI22" s="195">
        <f t="shared" si="5"/>
        <v>0</v>
      </c>
      <c r="AJ22" s="195">
        <f t="shared" si="5"/>
        <v>0</v>
      </c>
      <c r="AK22" s="195">
        <f t="shared" si="5"/>
        <v>0</v>
      </c>
      <c r="AL22" s="195">
        <f t="shared" si="5"/>
        <v>0</v>
      </c>
    </row>
    <row r="23" spans="1:38" s="132" customFormat="1" ht="17.25" customHeight="1">
      <c r="A23" s="167" t="s">
        <v>1194</v>
      </c>
      <c r="B23" s="233">
        <f>C23+'表七(2)'!B23</f>
        <v>189764.53</v>
      </c>
      <c r="C23" s="195">
        <f>SUM(C24:C27)</f>
        <v>189307.53</v>
      </c>
      <c r="D23" s="195">
        <f t="shared" ref="D23:AL23" si="6">SUM(D24:D27)</f>
        <v>2191.5300000000002</v>
      </c>
      <c r="E23" s="195">
        <f t="shared" si="6"/>
        <v>145885</v>
      </c>
      <c r="F23" s="195">
        <f t="shared" si="6"/>
        <v>44</v>
      </c>
      <c r="G23" s="195">
        <f t="shared" si="6"/>
        <v>35</v>
      </c>
      <c r="H23" s="195">
        <f t="shared" si="6"/>
        <v>0</v>
      </c>
      <c r="I23" s="195">
        <f t="shared" si="6"/>
        <v>3863</v>
      </c>
      <c r="J23" s="195">
        <f t="shared" si="6"/>
        <v>0</v>
      </c>
      <c r="K23" s="195">
        <f t="shared" si="6"/>
        <v>0</v>
      </c>
      <c r="L23" s="195">
        <f t="shared" si="6"/>
        <v>7748</v>
      </c>
      <c r="M23" s="195">
        <f t="shared" si="6"/>
        <v>0</v>
      </c>
      <c r="N23" s="195">
        <f t="shared" si="6"/>
        <v>0</v>
      </c>
      <c r="O23" s="195">
        <f t="shared" si="6"/>
        <v>0</v>
      </c>
      <c r="P23" s="195">
        <f t="shared" si="6"/>
        <v>0</v>
      </c>
      <c r="Q23" s="195">
        <f t="shared" si="6"/>
        <v>156</v>
      </c>
      <c r="R23" s="195">
        <f t="shared" si="6"/>
        <v>0</v>
      </c>
      <c r="S23" s="195">
        <f t="shared" si="6"/>
        <v>0</v>
      </c>
      <c r="T23" s="195">
        <f t="shared" si="6"/>
        <v>2983</v>
      </c>
      <c r="U23" s="195">
        <f t="shared" si="6"/>
        <v>6696</v>
      </c>
      <c r="V23" s="195">
        <f t="shared" si="6"/>
        <v>0</v>
      </c>
      <c r="W23" s="195">
        <f t="shared" si="6"/>
        <v>325</v>
      </c>
      <c r="X23" s="195">
        <f t="shared" si="6"/>
        <v>7226</v>
      </c>
      <c r="Y23" s="195">
        <f t="shared" si="6"/>
        <v>3823</v>
      </c>
      <c r="Z23" s="195">
        <f t="shared" si="6"/>
        <v>10</v>
      </c>
      <c r="AA23" s="195">
        <f t="shared" si="6"/>
        <v>0</v>
      </c>
      <c r="AB23" s="195">
        <f t="shared" si="6"/>
        <v>4984</v>
      </c>
      <c r="AC23" s="195">
        <f t="shared" si="6"/>
        <v>100</v>
      </c>
      <c r="AD23" s="195">
        <f t="shared" si="6"/>
        <v>0</v>
      </c>
      <c r="AE23" s="195">
        <f t="shared" si="6"/>
        <v>0</v>
      </c>
      <c r="AF23" s="195">
        <f t="shared" si="6"/>
        <v>0</v>
      </c>
      <c r="AG23" s="195">
        <f t="shared" si="6"/>
        <v>0</v>
      </c>
      <c r="AH23" s="195">
        <f t="shared" si="6"/>
        <v>3238</v>
      </c>
      <c r="AI23" s="195">
        <f t="shared" si="6"/>
        <v>0</v>
      </c>
      <c r="AJ23" s="195">
        <f t="shared" si="6"/>
        <v>0</v>
      </c>
      <c r="AK23" s="195">
        <f t="shared" si="6"/>
        <v>0</v>
      </c>
      <c r="AL23" s="195">
        <f t="shared" si="6"/>
        <v>0</v>
      </c>
    </row>
    <row r="24" spans="1:38" s="132" customFormat="1" ht="17.25" customHeight="1">
      <c r="A24" s="167" t="s">
        <v>1563</v>
      </c>
      <c r="B24" s="233">
        <f>C24+'表七(2)'!B24</f>
        <v>73327.76999999999</v>
      </c>
      <c r="C24" s="195">
        <f t="shared" ref="C24:C27" si="7">SUM(D24:AL24)</f>
        <v>72934.76999999999</v>
      </c>
      <c r="D24" s="146">
        <v>1178.77</v>
      </c>
      <c r="E24" s="146">
        <v>52995</v>
      </c>
      <c r="F24" s="146">
        <v>44</v>
      </c>
      <c r="G24" s="146">
        <v>35</v>
      </c>
      <c r="H24" s="146"/>
      <c r="I24" s="146"/>
      <c r="J24" s="146"/>
      <c r="K24" s="146"/>
      <c r="L24" s="146">
        <v>4124</v>
      </c>
      <c r="M24" s="146"/>
      <c r="N24" s="146"/>
      <c r="O24" s="146"/>
      <c r="P24" s="146"/>
      <c r="Q24" s="146">
        <v>9</v>
      </c>
      <c r="R24" s="146"/>
      <c r="S24" s="146"/>
      <c r="T24" s="146">
        <v>1176</v>
      </c>
      <c r="U24" s="146">
        <v>3300</v>
      </c>
      <c r="V24" s="146"/>
      <c r="W24" s="146">
        <v>52</v>
      </c>
      <c r="X24" s="146">
        <v>2791</v>
      </c>
      <c r="Y24" s="146">
        <v>2330</v>
      </c>
      <c r="Z24" s="146"/>
      <c r="AA24" s="146"/>
      <c r="AB24" s="146">
        <v>3379</v>
      </c>
      <c r="AC24" s="146">
        <v>33</v>
      </c>
      <c r="AD24" s="146"/>
      <c r="AE24" s="146"/>
      <c r="AF24" s="146"/>
      <c r="AG24" s="146"/>
      <c r="AH24" s="146">
        <v>1488</v>
      </c>
      <c r="AI24" s="146"/>
      <c r="AJ24" s="146"/>
      <c r="AK24" s="146"/>
      <c r="AL24" s="146"/>
    </row>
    <row r="25" spans="1:38" s="132" customFormat="1" ht="17.25" customHeight="1">
      <c r="A25" s="167" t="s">
        <v>1564</v>
      </c>
      <c r="B25" s="233">
        <f>C25+'表七(2)'!B25</f>
        <v>18057.11</v>
      </c>
      <c r="C25" s="195">
        <f t="shared" si="7"/>
        <v>18034.11</v>
      </c>
      <c r="D25" s="146">
        <v>634.11</v>
      </c>
      <c r="E25" s="146">
        <v>5625</v>
      </c>
      <c r="F25" s="146"/>
      <c r="G25" s="146"/>
      <c r="H25" s="146"/>
      <c r="I25" s="146">
        <v>3863</v>
      </c>
      <c r="J25" s="146"/>
      <c r="K25" s="146"/>
      <c r="L25" s="146">
        <v>1465</v>
      </c>
      <c r="M25" s="146"/>
      <c r="N25" s="146"/>
      <c r="O25" s="146"/>
      <c r="P25" s="146"/>
      <c r="Q25" s="146">
        <v>67</v>
      </c>
      <c r="R25" s="146"/>
      <c r="S25" s="146"/>
      <c r="T25" s="146">
        <v>848</v>
      </c>
      <c r="U25" s="146">
        <v>1330</v>
      </c>
      <c r="V25" s="146"/>
      <c r="W25" s="146">
        <v>145</v>
      </c>
      <c r="X25" s="146">
        <v>1961</v>
      </c>
      <c r="Y25" s="146">
        <v>736</v>
      </c>
      <c r="Z25" s="146">
        <v>10</v>
      </c>
      <c r="AA25" s="146"/>
      <c r="AB25" s="146">
        <v>110</v>
      </c>
      <c r="AC25" s="146">
        <v>63</v>
      </c>
      <c r="AD25" s="146"/>
      <c r="AE25" s="146"/>
      <c r="AF25" s="146"/>
      <c r="AG25" s="146"/>
      <c r="AH25" s="146">
        <v>1177</v>
      </c>
      <c r="AI25" s="146"/>
      <c r="AJ25" s="146"/>
      <c r="AK25" s="146"/>
      <c r="AL25" s="146"/>
    </row>
    <row r="26" spans="1:38" s="132" customFormat="1" ht="17.25" customHeight="1">
      <c r="A26" s="167" t="s">
        <v>1565</v>
      </c>
      <c r="B26" s="233">
        <f>C26+'表七(2)'!B26</f>
        <v>63162.65</v>
      </c>
      <c r="C26" s="195">
        <f t="shared" si="7"/>
        <v>63142.65</v>
      </c>
      <c r="D26" s="146">
        <v>378.65</v>
      </c>
      <c r="E26" s="146">
        <v>54265</v>
      </c>
      <c r="F26" s="146"/>
      <c r="G26" s="146"/>
      <c r="H26" s="146"/>
      <c r="I26" s="146"/>
      <c r="J26" s="146"/>
      <c r="K26" s="146"/>
      <c r="L26" s="146">
        <v>2159</v>
      </c>
      <c r="M26" s="146"/>
      <c r="N26" s="146"/>
      <c r="O26" s="146"/>
      <c r="P26" s="146"/>
      <c r="Q26" s="146">
        <v>5</v>
      </c>
      <c r="R26" s="146"/>
      <c r="S26" s="146"/>
      <c r="T26" s="146">
        <v>641</v>
      </c>
      <c r="U26" s="146">
        <v>1837</v>
      </c>
      <c r="V26" s="146"/>
      <c r="W26" s="146">
        <v>124</v>
      </c>
      <c r="X26" s="146">
        <v>2007</v>
      </c>
      <c r="Y26" s="146">
        <v>599</v>
      </c>
      <c r="Z26" s="146"/>
      <c r="AA26" s="146"/>
      <c r="AB26" s="146">
        <v>599</v>
      </c>
      <c r="AC26" s="146"/>
      <c r="AD26" s="146"/>
      <c r="AE26" s="146"/>
      <c r="AF26" s="146"/>
      <c r="AG26" s="146"/>
      <c r="AH26" s="146">
        <v>528</v>
      </c>
      <c r="AI26" s="146"/>
      <c r="AJ26" s="146"/>
      <c r="AK26" s="146"/>
      <c r="AL26" s="146"/>
    </row>
    <row r="27" spans="1:38" s="132" customFormat="1" ht="17.25" customHeight="1">
      <c r="A27" s="168" t="s">
        <v>1566</v>
      </c>
      <c r="B27" s="233">
        <f>C27+'表七(2)'!B27</f>
        <v>35217</v>
      </c>
      <c r="C27" s="195">
        <f t="shared" si="7"/>
        <v>35196</v>
      </c>
      <c r="D27" s="146"/>
      <c r="E27" s="146">
        <v>33000</v>
      </c>
      <c r="F27" s="146"/>
      <c r="G27" s="146"/>
      <c r="H27" s="146"/>
      <c r="I27" s="146"/>
      <c r="J27" s="146"/>
      <c r="K27" s="146"/>
      <c r="L27" s="146"/>
      <c r="M27" s="146"/>
      <c r="N27" s="146"/>
      <c r="O27" s="146"/>
      <c r="P27" s="146"/>
      <c r="Q27" s="146">
        <v>75</v>
      </c>
      <c r="R27" s="146"/>
      <c r="S27" s="146"/>
      <c r="T27" s="146">
        <v>318</v>
      </c>
      <c r="U27" s="146">
        <v>229</v>
      </c>
      <c r="V27" s="146"/>
      <c r="W27" s="146">
        <v>4</v>
      </c>
      <c r="X27" s="146">
        <v>467</v>
      </c>
      <c r="Y27" s="146">
        <v>158</v>
      </c>
      <c r="Z27" s="146"/>
      <c r="AA27" s="146"/>
      <c r="AB27" s="146">
        <v>896</v>
      </c>
      <c r="AC27" s="146">
        <v>4</v>
      </c>
      <c r="AD27" s="146"/>
      <c r="AE27" s="146"/>
      <c r="AF27" s="146"/>
      <c r="AG27" s="146"/>
      <c r="AH27" s="146">
        <v>45</v>
      </c>
      <c r="AI27" s="146"/>
      <c r="AJ27" s="146"/>
      <c r="AK27" s="146"/>
      <c r="AL27" s="146"/>
    </row>
    <row r="28" spans="1:38" s="138" customFormat="1" ht="17.25" customHeight="1">
      <c r="A28" s="163" t="s">
        <v>1567</v>
      </c>
      <c r="B28" s="233">
        <f>C28+'表七(2)'!B28</f>
        <v>1685403</v>
      </c>
      <c r="C28" s="195">
        <v>1670151</v>
      </c>
      <c r="D28" s="146">
        <v>34119</v>
      </c>
      <c r="E28" s="146">
        <v>309225</v>
      </c>
      <c r="F28" s="146">
        <v>166581</v>
      </c>
      <c r="G28" s="146">
        <v>42907</v>
      </c>
      <c r="H28" s="146">
        <v>0</v>
      </c>
      <c r="I28" s="146">
        <v>539</v>
      </c>
      <c r="J28" s="146">
        <v>10264</v>
      </c>
      <c r="K28" s="146">
        <v>36222</v>
      </c>
      <c r="L28" s="146">
        <v>320263</v>
      </c>
      <c r="M28" s="146">
        <v>0</v>
      </c>
      <c r="N28" s="146">
        <v>0</v>
      </c>
      <c r="O28" s="146">
        <v>60708</v>
      </c>
      <c r="P28" s="146">
        <v>33553</v>
      </c>
      <c r="Q28" s="146">
        <v>4038</v>
      </c>
      <c r="R28" s="146">
        <v>0</v>
      </c>
      <c r="S28" s="146">
        <v>956</v>
      </c>
      <c r="T28" s="146">
        <v>26201</v>
      </c>
      <c r="U28" s="146">
        <v>120652</v>
      </c>
      <c r="V28" s="146">
        <v>470</v>
      </c>
      <c r="W28" s="146">
        <v>8108</v>
      </c>
      <c r="X28" s="146">
        <v>138673</v>
      </c>
      <c r="Y28" s="146">
        <v>153503</v>
      </c>
      <c r="Z28" s="146">
        <v>6728</v>
      </c>
      <c r="AA28" s="146">
        <v>0</v>
      </c>
      <c r="AB28" s="146">
        <v>160544</v>
      </c>
      <c r="AC28" s="146">
        <v>12082</v>
      </c>
      <c r="AD28" s="146">
        <v>86</v>
      </c>
      <c r="AE28" s="146">
        <v>451</v>
      </c>
      <c r="AF28" s="146">
        <v>0</v>
      </c>
      <c r="AG28" s="146">
        <v>0</v>
      </c>
      <c r="AH28" s="146">
        <v>18829</v>
      </c>
      <c r="AI28" s="146">
        <v>983</v>
      </c>
      <c r="AJ28" s="146">
        <v>6</v>
      </c>
      <c r="AK28" s="146">
        <v>0</v>
      </c>
      <c r="AL28" s="146">
        <v>3460</v>
      </c>
    </row>
    <row r="29" spans="1:38" s="138" customFormat="1" ht="17.25" customHeight="1">
      <c r="A29" s="169" t="s">
        <v>1568</v>
      </c>
      <c r="B29" s="233">
        <f>C29+'表七(2)'!B29</f>
        <v>159518</v>
      </c>
      <c r="C29" s="195">
        <v>155454</v>
      </c>
      <c r="D29" s="196">
        <v>-2930</v>
      </c>
      <c r="E29" s="196">
        <v>52358</v>
      </c>
      <c r="F29" s="196"/>
      <c r="G29" s="196"/>
      <c r="H29" s="196"/>
      <c r="I29" s="196"/>
      <c r="J29" s="196"/>
      <c r="K29" s="196"/>
      <c r="L29" s="196">
        <v>40912</v>
      </c>
      <c r="M29" s="196"/>
      <c r="N29" s="196"/>
      <c r="O29" s="196">
        <v>22593</v>
      </c>
      <c r="P29" s="196"/>
      <c r="Q29" s="197">
        <v>768</v>
      </c>
      <c r="R29" s="197"/>
      <c r="S29" s="197">
        <v>956</v>
      </c>
      <c r="T29" s="197">
        <v>6448</v>
      </c>
      <c r="U29" s="197">
        <v>9645</v>
      </c>
      <c r="V29" s="197">
        <v>180</v>
      </c>
      <c r="W29" s="197">
        <v>2829</v>
      </c>
      <c r="X29" s="197">
        <v>10375</v>
      </c>
      <c r="Y29" s="197">
        <v>1742</v>
      </c>
      <c r="Z29" s="197">
        <v>525</v>
      </c>
      <c r="AA29" s="197"/>
      <c r="AB29" s="197">
        <v>9363</v>
      </c>
      <c r="AC29" s="197"/>
      <c r="AD29" s="197">
        <v>86</v>
      </c>
      <c r="AE29" s="197"/>
      <c r="AF29" s="197"/>
      <c r="AG29" s="197"/>
      <c r="AH29" s="197"/>
      <c r="AI29" s="197"/>
      <c r="AJ29" s="197">
        <v>6</v>
      </c>
      <c r="AK29" s="197"/>
      <c r="AL29" s="196">
        <v>-402</v>
      </c>
    </row>
    <row r="30" spans="1:38" ht="17.25" customHeight="1">
      <c r="A30" s="167" t="s">
        <v>1569</v>
      </c>
      <c r="B30" s="233">
        <f>C30+'表七(2)'!B30</f>
        <v>1162</v>
      </c>
      <c r="C30" s="195">
        <v>1042</v>
      </c>
      <c r="D30" s="146"/>
      <c r="E30" s="146">
        <v>10</v>
      </c>
      <c r="F30" s="146"/>
      <c r="G30" s="146"/>
      <c r="H30" s="146"/>
      <c r="I30" s="146"/>
      <c r="J30" s="146"/>
      <c r="K30" s="146"/>
      <c r="L30" s="146"/>
      <c r="M30" s="146"/>
      <c r="N30" s="146"/>
      <c r="O30" s="146">
        <v>921</v>
      </c>
      <c r="P30" s="146"/>
      <c r="Q30" s="146"/>
      <c r="R30" s="146"/>
      <c r="S30" s="146"/>
      <c r="T30" s="146"/>
      <c r="U30" s="146"/>
      <c r="V30" s="146"/>
      <c r="W30" s="146">
        <v>111</v>
      </c>
      <c r="X30" s="146"/>
      <c r="Y30" s="146"/>
      <c r="Z30" s="146"/>
      <c r="AA30" s="146"/>
      <c r="AB30" s="146"/>
      <c r="AC30" s="146"/>
      <c r="AD30" s="146"/>
      <c r="AE30" s="146"/>
      <c r="AF30" s="146"/>
      <c r="AG30" s="146"/>
      <c r="AH30" s="146"/>
      <c r="AI30" s="146"/>
      <c r="AJ30" s="146"/>
      <c r="AK30" s="146"/>
      <c r="AL30" s="146"/>
    </row>
    <row r="31" spans="1:38" ht="17.25" customHeight="1">
      <c r="A31" s="167" t="s">
        <v>1194</v>
      </c>
      <c r="B31" s="233">
        <f>C31+'表七(2)'!B31</f>
        <v>1524723</v>
      </c>
      <c r="C31" s="195">
        <v>1513655</v>
      </c>
      <c r="D31" s="146">
        <v>37049</v>
      </c>
      <c r="E31" s="146">
        <v>256857</v>
      </c>
      <c r="F31" s="146">
        <v>166581</v>
      </c>
      <c r="G31" s="146">
        <v>42907</v>
      </c>
      <c r="H31" s="146">
        <v>0</v>
      </c>
      <c r="I31" s="146">
        <v>539</v>
      </c>
      <c r="J31" s="146">
        <v>10264</v>
      </c>
      <c r="K31" s="146">
        <v>36222</v>
      </c>
      <c r="L31" s="146">
        <v>279351</v>
      </c>
      <c r="M31" s="146">
        <v>0</v>
      </c>
      <c r="N31" s="146">
        <v>0</v>
      </c>
      <c r="O31" s="146">
        <v>37194</v>
      </c>
      <c r="P31" s="146">
        <v>33553</v>
      </c>
      <c r="Q31" s="146">
        <v>3270</v>
      </c>
      <c r="R31" s="146">
        <v>0</v>
      </c>
      <c r="S31" s="146">
        <v>0</v>
      </c>
      <c r="T31" s="146">
        <v>19753</v>
      </c>
      <c r="U31" s="146">
        <v>111007</v>
      </c>
      <c r="V31" s="146">
        <v>290</v>
      </c>
      <c r="W31" s="146">
        <v>5168</v>
      </c>
      <c r="X31" s="146">
        <v>128298</v>
      </c>
      <c r="Y31" s="146">
        <v>151761</v>
      </c>
      <c r="Z31" s="146">
        <v>6203</v>
      </c>
      <c r="AA31" s="146">
        <v>0</v>
      </c>
      <c r="AB31" s="146">
        <v>151181</v>
      </c>
      <c r="AC31" s="146">
        <v>12082</v>
      </c>
      <c r="AD31" s="146">
        <v>0</v>
      </c>
      <c r="AE31" s="146">
        <v>451</v>
      </c>
      <c r="AF31" s="146">
        <v>0</v>
      </c>
      <c r="AG31" s="146">
        <v>0</v>
      </c>
      <c r="AH31" s="146">
        <v>18829</v>
      </c>
      <c r="AI31" s="146">
        <v>983</v>
      </c>
      <c r="AJ31" s="146">
        <v>0</v>
      </c>
      <c r="AK31" s="146">
        <v>0</v>
      </c>
      <c r="AL31" s="146">
        <v>3862</v>
      </c>
    </row>
    <row r="32" spans="1:38" ht="17.25" customHeight="1">
      <c r="A32" s="167" t="s">
        <v>1570</v>
      </c>
      <c r="B32" s="233">
        <f>C32+'表七(2)'!B32</f>
        <v>171914</v>
      </c>
      <c r="C32" s="195">
        <v>170356</v>
      </c>
      <c r="D32" s="146">
        <v>6248</v>
      </c>
      <c r="E32" s="146">
        <v>26172</v>
      </c>
      <c r="F32" s="146">
        <v>7818</v>
      </c>
      <c r="G32" s="146"/>
      <c r="H32" s="146"/>
      <c r="I32" s="146"/>
      <c r="J32" s="146"/>
      <c r="K32" s="146"/>
      <c r="L32" s="146">
        <v>40571</v>
      </c>
      <c r="M32" s="146"/>
      <c r="N32" s="146"/>
      <c r="O32" s="146"/>
      <c r="P32" s="146">
        <v>1712</v>
      </c>
      <c r="Q32" s="146">
        <v>496</v>
      </c>
      <c r="R32" s="146"/>
      <c r="S32" s="146"/>
      <c r="T32" s="146">
        <v>4196</v>
      </c>
      <c r="U32" s="146">
        <v>19230</v>
      </c>
      <c r="V32" s="146">
        <v>90</v>
      </c>
      <c r="W32" s="146">
        <v>488</v>
      </c>
      <c r="X32" s="146">
        <v>23199</v>
      </c>
      <c r="Y32" s="146">
        <v>27781</v>
      </c>
      <c r="Z32" s="146">
        <v>92</v>
      </c>
      <c r="AA32" s="146"/>
      <c r="AB32" s="146">
        <v>4577</v>
      </c>
      <c r="AC32" s="146">
        <v>1500</v>
      </c>
      <c r="AD32" s="146"/>
      <c r="AE32" s="146"/>
      <c r="AF32" s="146"/>
      <c r="AG32" s="146"/>
      <c r="AH32" s="146">
        <v>6186</v>
      </c>
      <c r="AI32" s="146"/>
      <c r="AJ32" s="146"/>
      <c r="AK32" s="146"/>
      <c r="AL32" s="146"/>
    </row>
    <row r="33" spans="1:38" ht="17.25" customHeight="1">
      <c r="A33" s="167" t="s">
        <v>1571</v>
      </c>
      <c r="B33" s="233">
        <f>C33+'表七(2)'!B33</f>
        <v>105070</v>
      </c>
      <c r="C33" s="195">
        <v>104577</v>
      </c>
      <c r="D33" s="146">
        <v>1953</v>
      </c>
      <c r="E33" s="146">
        <v>8107</v>
      </c>
      <c r="F33" s="146">
        <v>2842</v>
      </c>
      <c r="G33" s="146">
        <v>42626</v>
      </c>
      <c r="H33" s="146"/>
      <c r="I33" s="146">
        <v>539</v>
      </c>
      <c r="J33" s="146"/>
      <c r="K33" s="146"/>
      <c r="L33" s="146">
        <v>12833</v>
      </c>
      <c r="M33" s="146"/>
      <c r="N33" s="146"/>
      <c r="O33" s="146"/>
      <c r="P33" s="146"/>
      <c r="Q33" s="146">
        <v>125</v>
      </c>
      <c r="R33" s="146"/>
      <c r="S33" s="146"/>
      <c r="T33" s="146">
        <v>1831</v>
      </c>
      <c r="U33" s="146">
        <v>7403</v>
      </c>
      <c r="V33" s="146">
        <v>20</v>
      </c>
      <c r="W33" s="146">
        <v>260</v>
      </c>
      <c r="X33" s="146">
        <v>6902</v>
      </c>
      <c r="Y33" s="146">
        <v>4869</v>
      </c>
      <c r="Z33" s="146">
        <v>164</v>
      </c>
      <c r="AA33" s="146"/>
      <c r="AB33" s="146">
        <v>13751</v>
      </c>
      <c r="AC33" s="146">
        <v>140</v>
      </c>
      <c r="AD33" s="146"/>
      <c r="AE33" s="146"/>
      <c r="AF33" s="146"/>
      <c r="AG33" s="146"/>
      <c r="AH33" s="146">
        <v>212</v>
      </c>
      <c r="AI33" s="146"/>
      <c r="AJ33" s="146"/>
      <c r="AK33" s="146"/>
      <c r="AL33" s="146"/>
    </row>
    <row r="34" spans="1:38" ht="17.25" customHeight="1">
      <c r="A34" s="167" t="s">
        <v>1572</v>
      </c>
      <c r="B34" s="233">
        <f>C34+'表七(2)'!B34</f>
        <v>28324</v>
      </c>
      <c r="C34" s="195">
        <v>25667</v>
      </c>
      <c r="D34" s="146">
        <v>4030</v>
      </c>
      <c r="E34" s="146">
        <v>196</v>
      </c>
      <c r="F34" s="146">
        <v>1227</v>
      </c>
      <c r="G34" s="146">
        <v>281</v>
      </c>
      <c r="H34" s="146"/>
      <c r="I34" s="146"/>
      <c r="J34" s="146"/>
      <c r="K34" s="146"/>
      <c r="L34" s="146"/>
      <c r="M34" s="146"/>
      <c r="N34" s="146"/>
      <c r="O34" s="146">
        <v>9744</v>
      </c>
      <c r="P34" s="146">
        <v>295</v>
      </c>
      <c r="Q34" s="146">
        <v>101</v>
      </c>
      <c r="R34" s="146"/>
      <c r="S34" s="146"/>
      <c r="T34" s="146">
        <v>595</v>
      </c>
      <c r="U34" s="146">
        <v>1159</v>
      </c>
      <c r="V34" s="146">
        <v>10</v>
      </c>
      <c r="W34" s="146">
        <v>217</v>
      </c>
      <c r="X34" s="146">
        <v>2323</v>
      </c>
      <c r="Y34" s="146">
        <v>2178</v>
      </c>
      <c r="Z34" s="146">
        <v>166</v>
      </c>
      <c r="AA34" s="146"/>
      <c r="AB34" s="146">
        <v>2952</v>
      </c>
      <c r="AC34" s="146">
        <v>110</v>
      </c>
      <c r="AD34" s="146"/>
      <c r="AE34" s="146"/>
      <c r="AF34" s="146"/>
      <c r="AG34" s="146"/>
      <c r="AH34" s="146">
        <v>83</v>
      </c>
      <c r="AI34" s="146"/>
      <c r="AJ34" s="146"/>
      <c r="AK34" s="146"/>
      <c r="AL34" s="146"/>
    </row>
    <row r="35" spans="1:38" ht="17.25" customHeight="1">
      <c r="A35" s="168" t="s">
        <v>1573</v>
      </c>
      <c r="B35" s="233">
        <f>C35+'表七(2)'!B35</f>
        <v>213816</v>
      </c>
      <c r="C35" s="195">
        <v>212771</v>
      </c>
      <c r="D35" s="146">
        <v>3705</v>
      </c>
      <c r="E35" s="146">
        <v>43675</v>
      </c>
      <c r="F35" s="146">
        <v>25258</v>
      </c>
      <c r="G35" s="146">
        <v>0</v>
      </c>
      <c r="H35" s="146">
        <v>0</v>
      </c>
      <c r="I35" s="146">
        <v>0</v>
      </c>
      <c r="J35" s="146">
        <v>2544</v>
      </c>
      <c r="K35" s="146">
        <v>4887</v>
      </c>
      <c r="L35" s="146">
        <v>35872</v>
      </c>
      <c r="M35" s="146">
        <v>0</v>
      </c>
      <c r="N35" s="146">
        <v>0</v>
      </c>
      <c r="O35" s="146">
        <v>0</v>
      </c>
      <c r="P35" s="146">
        <v>4621</v>
      </c>
      <c r="Q35" s="146">
        <v>544</v>
      </c>
      <c r="R35" s="146">
        <v>0</v>
      </c>
      <c r="S35" s="146">
        <v>0</v>
      </c>
      <c r="T35" s="146">
        <v>2701</v>
      </c>
      <c r="U35" s="146">
        <v>17094</v>
      </c>
      <c r="V35" s="146">
        <v>0</v>
      </c>
      <c r="W35" s="146">
        <v>459</v>
      </c>
      <c r="X35" s="146">
        <v>24262</v>
      </c>
      <c r="Y35" s="146">
        <v>25785</v>
      </c>
      <c r="Z35" s="146">
        <v>189</v>
      </c>
      <c r="AA35" s="146">
        <v>0</v>
      </c>
      <c r="AB35" s="146">
        <v>17443</v>
      </c>
      <c r="AC35" s="146">
        <v>1820</v>
      </c>
      <c r="AD35" s="146">
        <v>0</v>
      </c>
      <c r="AE35" s="146">
        <v>0</v>
      </c>
      <c r="AF35" s="146">
        <v>0</v>
      </c>
      <c r="AG35" s="146">
        <v>0</v>
      </c>
      <c r="AH35" s="146">
        <v>1511</v>
      </c>
      <c r="AI35" s="146">
        <v>0</v>
      </c>
      <c r="AJ35" s="146">
        <v>0</v>
      </c>
      <c r="AK35" s="146">
        <v>0</v>
      </c>
      <c r="AL35" s="146">
        <v>401</v>
      </c>
    </row>
    <row r="36" spans="1:38" ht="17.25" customHeight="1">
      <c r="A36" s="168" t="s">
        <v>1574</v>
      </c>
      <c r="B36" s="233">
        <f>C36+'表七(2)'!B36</f>
        <v>149111</v>
      </c>
      <c r="C36" s="195">
        <v>148330</v>
      </c>
      <c r="D36" s="146">
        <v>3923</v>
      </c>
      <c r="E36" s="146">
        <v>22066</v>
      </c>
      <c r="F36" s="146">
        <v>15958</v>
      </c>
      <c r="G36" s="146"/>
      <c r="H36" s="146"/>
      <c r="I36" s="146"/>
      <c r="J36" s="146">
        <v>2326</v>
      </c>
      <c r="K36" s="146">
        <v>4006</v>
      </c>
      <c r="L36" s="146">
        <v>26347</v>
      </c>
      <c r="M36" s="146"/>
      <c r="N36" s="146"/>
      <c r="O36" s="146">
        <v>8347</v>
      </c>
      <c r="P36" s="146">
        <v>6140</v>
      </c>
      <c r="Q36" s="146">
        <v>289</v>
      </c>
      <c r="R36" s="146"/>
      <c r="S36" s="146"/>
      <c r="T36" s="146">
        <v>1285</v>
      </c>
      <c r="U36" s="146">
        <v>8669</v>
      </c>
      <c r="V36" s="146">
        <v>20</v>
      </c>
      <c r="W36" s="146">
        <v>504</v>
      </c>
      <c r="X36" s="146">
        <v>9720</v>
      </c>
      <c r="Y36" s="146">
        <v>10651</v>
      </c>
      <c r="Z36" s="146">
        <v>956</v>
      </c>
      <c r="AA36" s="146"/>
      <c r="AB36" s="146">
        <v>21700</v>
      </c>
      <c r="AC36" s="146">
        <v>1015</v>
      </c>
      <c r="AD36" s="146"/>
      <c r="AE36" s="146"/>
      <c r="AF36" s="146"/>
      <c r="AG36" s="146"/>
      <c r="AH36" s="146">
        <v>2653</v>
      </c>
      <c r="AI36" s="146"/>
      <c r="AJ36" s="146"/>
      <c r="AK36" s="146"/>
      <c r="AL36" s="146">
        <v>1755</v>
      </c>
    </row>
    <row r="37" spans="1:38" ht="15.95" customHeight="1">
      <c r="A37" s="168" t="s">
        <v>1575</v>
      </c>
      <c r="B37" s="233">
        <f>C37+'表七(2)'!B37</f>
        <v>159113</v>
      </c>
      <c r="C37" s="195">
        <v>158517</v>
      </c>
      <c r="D37" s="146">
        <v>-1195</v>
      </c>
      <c r="E37" s="146">
        <v>28632</v>
      </c>
      <c r="F37" s="146">
        <v>22927</v>
      </c>
      <c r="G37" s="146">
        <v>0</v>
      </c>
      <c r="H37" s="146"/>
      <c r="I37" s="146"/>
      <c r="J37" s="146">
        <v>975</v>
      </c>
      <c r="K37" s="146">
        <v>4576</v>
      </c>
      <c r="L37" s="146">
        <v>32816</v>
      </c>
      <c r="M37" s="146"/>
      <c r="N37" s="146"/>
      <c r="O37" s="146">
        <v>7789</v>
      </c>
      <c r="P37" s="146">
        <v>3611</v>
      </c>
      <c r="Q37" s="146">
        <v>348</v>
      </c>
      <c r="R37" s="146"/>
      <c r="S37" s="146"/>
      <c r="T37" s="146">
        <v>1989</v>
      </c>
      <c r="U37" s="146">
        <v>10561</v>
      </c>
      <c r="V37" s="146">
        <v>20</v>
      </c>
      <c r="W37" s="146">
        <v>481</v>
      </c>
      <c r="X37" s="146">
        <v>13402</v>
      </c>
      <c r="Y37" s="146">
        <v>18071</v>
      </c>
      <c r="Z37" s="146">
        <v>581</v>
      </c>
      <c r="AA37" s="146"/>
      <c r="AB37" s="146">
        <v>9637</v>
      </c>
      <c r="AC37" s="146">
        <v>1500</v>
      </c>
      <c r="AD37" s="146"/>
      <c r="AE37" s="146"/>
      <c r="AF37" s="146"/>
      <c r="AG37" s="146"/>
      <c r="AH37" s="146">
        <v>1394</v>
      </c>
      <c r="AI37" s="146"/>
      <c r="AJ37" s="146"/>
      <c r="AK37" s="146"/>
      <c r="AL37" s="146">
        <v>402</v>
      </c>
    </row>
    <row r="38" spans="1:38" ht="15.95" customHeight="1">
      <c r="A38" s="168" t="s">
        <v>1576</v>
      </c>
      <c r="B38" s="233">
        <f>C38+'表七(2)'!B38</f>
        <v>127938</v>
      </c>
      <c r="C38" s="195">
        <v>127027</v>
      </c>
      <c r="D38" s="146">
        <v>3748</v>
      </c>
      <c r="E38" s="146">
        <v>20237</v>
      </c>
      <c r="F38" s="146">
        <v>14604</v>
      </c>
      <c r="G38" s="146"/>
      <c r="H38" s="146"/>
      <c r="I38" s="146"/>
      <c r="J38" s="146"/>
      <c r="K38" s="146">
        <v>4525</v>
      </c>
      <c r="L38" s="146">
        <v>22538</v>
      </c>
      <c r="M38" s="146"/>
      <c r="N38" s="146"/>
      <c r="O38" s="146"/>
      <c r="P38" s="146"/>
      <c r="Q38" s="146">
        <v>288</v>
      </c>
      <c r="R38" s="146"/>
      <c r="S38" s="146"/>
      <c r="T38" s="146">
        <v>1508</v>
      </c>
      <c r="U38" s="146">
        <v>9850</v>
      </c>
      <c r="V38" s="146">
        <v>20</v>
      </c>
      <c r="W38" s="146">
        <v>603</v>
      </c>
      <c r="X38" s="146">
        <v>10382</v>
      </c>
      <c r="Y38" s="146">
        <v>11473</v>
      </c>
      <c r="Z38" s="146">
        <v>945</v>
      </c>
      <c r="AA38" s="146"/>
      <c r="AB38" s="146">
        <v>21997</v>
      </c>
      <c r="AC38" s="146">
        <v>1207</v>
      </c>
      <c r="AD38" s="146"/>
      <c r="AE38" s="146">
        <v>451</v>
      </c>
      <c r="AF38" s="146"/>
      <c r="AG38" s="146"/>
      <c r="AH38" s="146">
        <v>1668</v>
      </c>
      <c r="AI38" s="146">
        <v>983</v>
      </c>
      <c r="AJ38" s="146"/>
      <c r="AK38" s="146"/>
      <c r="AL38" s="146"/>
    </row>
    <row r="39" spans="1:38" ht="15.95" customHeight="1">
      <c r="A39" s="168" t="s">
        <v>1577</v>
      </c>
      <c r="B39" s="233">
        <f>C39+'表七(2)'!B39</f>
        <v>141674</v>
      </c>
      <c r="C39" s="195">
        <v>141197</v>
      </c>
      <c r="D39" s="146">
        <v>3513</v>
      </c>
      <c r="E39" s="146">
        <v>28475</v>
      </c>
      <c r="F39" s="146">
        <v>26128</v>
      </c>
      <c r="G39" s="146">
        <v>0</v>
      </c>
      <c r="H39" s="146"/>
      <c r="I39" s="146"/>
      <c r="J39" s="146">
        <v>1629</v>
      </c>
      <c r="K39" s="146">
        <v>4212</v>
      </c>
      <c r="L39" s="146">
        <v>24704</v>
      </c>
      <c r="M39" s="146"/>
      <c r="N39" s="146"/>
      <c r="O39" s="146"/>
      <c r="P39" s="146">
        <v>3046</v>
      </c>
      <c r="Q39" s="146">
        <v>275</v>
      </c>
      <c r="R39" s="146"/>
      <c r="S39" s="146"/>
      <c r="T39" s="146">
        <v>1416</v>
      </c>
      <c r="U39" s="146">
        <v>7861</v>
      </c>
      <c r="V39" s="146">
        <v>20</v>
      </c>
      <c r="W39" s="146">
        <v>517</v>
      </c>
      <c r="X39" s="146">
        <v>8896</v>
      </c>
      <c r="Y39" s="146">
        <v>12225</v>
      </c>
      <c r="Z39" s="146">
        <v>286</v>
      </c>
      <c r="AA39" s="146"/>
      <c r="AB39" s="146">
        <v>15829</v>
      </c>
      <c r="AC39" s="146">
        <v>901</v>
      </c>
      <c r="AD39" s="146"/>
      <c r="AE39" s="146"/>
      <c r="AF39" s="146"/>
      <c r="AG39" s="146"/>
      <c r="AH39" s="146">
        <v>1005</v>
      </c>
      <c r="AI39" s="146"/>
      <c r="AJ39" s="146"/>
      <c r="AK39" s="146"/>
      <c r="AL39" s="146">
        <v>259</v>
      </c>
    </row>
    <row r="40" spans="1:38" ht="15.95" customHeight="1">
      <c r="A40" s="168" t="s">
        <v>1578</v>
      </c>
      <c r="B40" s="233">
        <f>C40+'表七(2)'!B40</f>
        <v>154284</v>
      </c>
      <c r="C40" s="195">
        <v>152988</v>
      </c>
      <c r="D40" s="146">
        <v>4436</v>
      </c>
      <c r="E40" s="146">
        <v>18509</v>
      </c>
      <c r="F40" s="146">
        <v>18359</v>
      </c>
      <c r="G40" s="146">
        <v>0</v>
      </c>
      <c r="H40" s="146">
        <v>0</v>
      </c>
      <c r="I40" s="146">
        <v>0</v>
      </c>
      <c r="J40" s="146">
        <v>1642</v>
      </c>
      <c r="K40" s="146">
        <v>4990</v>
      </c>
      <c r="L40" s="146">
        <v>30333</v>
      </c>
      <c r="M40" s="146">
        <v>0</v>
      </c>
      <c r="N40" s="146">
        <v>0</v>
      </c>
      <c r="O40" s="146">
        <v>0</v>
      </c>
      <c r="P40" s="146">
        <v>3862</v>
      </c>
      <c r="Q40" s="146">
        <v>370</v>
      </c>
      <c r="R40" s="146">
        <v>0</v>
      </c>
      <c r="S40" s="146">
        <v>0</v>
      </c>
      <c r="T40" s="146">
        <v>1940</v>
      </c>
      <c r="U40" s="146">
        <v>13018</v>
      </c>
      <c r="V40" s="146">
        <v>20</v>
      </c>
      <c r="W40" s="146">
        <v>501</v>
      </c>
      <c r="X40" s="146">
        <v>12199</v>
      </c>
      <c r="Y40" s="146">
        <v>18485</v>
      </c>
      <c r="Z40" s="146">
        <v>294</v>
      </c>
      <c r="AA40" s="146">
        <v>0</v>
      </c>
      <c r="AB40" s="146">
        <v>19059</v>
      </c>
      <c r="AC40" s="146">
        <v>2089</v>
      </c>
      <c r="AD40" s="146">
        <v>0</v>
      </c>
      <c r="AE40" s="146">
        <v>0</v>
      </c>
      <c r="AF40" s="146">
        <v>0</v>
      </c>
      <c r="AG40" s="146">
        <v>0</v>
      </c>
      <c r="AH40" s="146">
        <v>2340</v>
      </c>
      <c r="AI40" s="146">
        <v>0</v>
      </c>
      <c r="AJ40" s="146">
        <v>0</v>
      </c>
      <c r="AK40" s="146">
        <v>0</v>
      </c>
      <c r="AL40" s="146">
        <v>542</v>
      </c>
    </row>
    <row r="41" spans="1:38" ht="15.95" customHeight="1">
      <c r="A41" s="168" t="s">
        <v>1579</v>
      </c>
      <c r="B41" s="233">
        <f>C41+'表七(2)'!B41</f>
        <v>130684</v>
      </c>
      <c r="C41" s="195">
        <v>130237</v>
      </c>
      <c r="D41" s="146">
        <v>3966</v>
      </c>
      <c r="E41" s="146">
        <v>31136</v>
      </c>
      <c r="F41" s="146">
        <v>15942</v>
      </c>
      <c r="G41" s="146"/>
      <c r="H41" s="146"/>
      <c r="I41" s="146"/>
      <c r="J41" s="146">
        <v>515</v>
      </c>
      <c r="K41" s="146">
        <v>4117</v>
      </c>
      <c r="L41" s="146">
        <v>25784</v>
      </c>
      <c r="M41" s="146"/>
      <c r="N41" s="146"/>
      <c r="O41" s="146"/>
      <c r="P41" s="146">
        <v>6197</v>
      </c>
      <c r="Q41" s="146">
        <v>191</v>
      </c>
      <c r="R41" s="146"/>
      <c r="S41" s="146"/>
      <c r="T41" s="146">
        <v>1244</v>
      </c>
      <c r="U41" s="146">
        <v>6758</v>
      </c>
      <c r="V41" s="146">
        <v>20</v>
      </c>
      <c r="W41" s="146">
        <v>430</v>
      </c>
      <c r="X41" s="146">
        <v>8824</v>
      </c>
      <c r="Y41" s="146">
        <v>10688</v>
      </c>
      <c r="Z41" s="146">
        <v>1200</v>
      </c>
      <c r="AA41" s="146"/>
      <c r="AB41" s="146">
        <v>11481</v>
      </c>
      <c r="AC41" s="146">
        <v>800</v>
      </c>
      <c r="AD41" s="146"/>
      <c r="AE41" s="146"/>
      <c r="AF41" s="146"/>
      <c r="AG41" s="146"/>
      <c r="AH41" s="146">
        <v>665</v>
      </c>
      <c r="AI41" s="146"/>
      <c r="AJ41" s="146"/>
      <c r="AK41" s="146"/>
      <c r="AL41" s="146">
        <v>279</v>
      </c>
    </row>
    <row r="42" spans="1:38" ht="15.95" customHeight="1">
      <c r="A42" s="168" t="s">
        <v>1580</v>
      </c>
      <c r="B42" s="233">
        <f>C42+'表七(2)'!B42</f>
        <v>142795</v>
      </c>
      <c r="C42" s="195">
        <v>141988</v>
      </c>
      <c r="D42" s="146">
        <v>2722</v>
      </c>
      <c r="E42" s="146">
        <v>29652</v>
      </c>
      <c r="F42" s="146">
        <v>15518</v>
      </c>
      <c r="G42" s="146"/>
      <c r="H42" s="146"/>
      <c r="I42" s="146"/>
      <c r="J42" s="146">
        <v>633</v>
      </c>
      <c r="K42" s="146">
        <v>4909</v>
      </c>
      <c r="L42" s="146">
        <v>27553</v>
      </c>
      <c r="M42" s="146"/>
      <c r="N42" s="146"/>
      <c r="O42" s="146">
        <v>11314</v>
      </c>
      <c r="P42" s="146">
        <v>4069</v>
      </c>
      <c r="Q42" s="146">
        <v>243</v>
      </c>
      <c r="R42" s="146"/>
      <c r="S42" s="146"/>
      <c r="T42" s="146">
        <v>1048</v>
      </c>
      <c r="U42" s="146">
        <v>9404</v>
      </c>
      <c r="V42" s="146">
        <v>50</v>
      </c>
      <c r="W42" s="146">
        <v>708</v>
      </c>
      <c r="X42" s="146">
        <v>8189</v>
      </c>
      <c r="Y42" s="146">
        <v>9555</v>
      </c>
      <c r="Z42" s="146">
        <v>1330</v>
      </c>
      <c r="AA42" s="146"/>
      <c r="AB42" s="146">
        <v>12755</v>
      </c>
      <c r="AC42" s="146">
        <v>1000</v>
      </c>
      <c r="AD42" s="146"/>
      <c r="AE42" s="146"/>
      <c r="AF42" s="146"/>
      <c r="AG42" s="146"/>
      <c r="AH42" s="146">
        <v>1112</v>
      </c>
      <c r="AI42" s="146"/>
      <c r="AJ42" s="146"/>
      <c r="AK42" s="146"/>
      <c r="AL42" s="146">
        <v>224</v>
      </c>
    </row>
    <row r="43" spans="1:38" s="132" customFormat="1" ht="17.25" customHeight="1">
      <c r="A43" s="161" t="s">
        <v>1581</v>
      </c>
      <c r="B43" s="233">
        <f>C43+'表七(2)'!B43</f>
        <v>833014</v>
      </c>
      <c r="C43" s="146">
        <f>SUM(C44:C45)</f>
        <v>825172</v>
      </c>
      <c r="D43" s="146">
        <f>SUM(D44:D45)</f>
        <v>20876</v>
      </c>
      <c r="E43" s="146">
        <f t="shared" ref="E43:AL43" si="8">SUM(E44:E45)</f>
        <v>136005</v>
      </c>
      <c r="F43" s="146">
        <f t="shared" si="8"/>
        <v>82117</v>
      </c>
      <c r="G43" s="146">
        <f t="shared" si="8"/>
        <v>0</v>
      </c>
      <c r="H43" s="146">
        <f t="shared" si="8"/>
        <v>6412</v>
      </c>
      <c r="I43" s="146">
        <f t="shared" si="8"/>
        <v>0</v>
      </c>
      <c r="J43" s="146">
        <f t="shared" si="8"/>
        <v>8213</v>
      </c>
      <c r="K43" s="146">
        <f t="shared" si="8"/>
        <v>21439</v>
      </c>
      <c r="L43" s="146">
        <f t="shared" si="8"/>
        <v>159727</v>
      </c>
      <c r="M43" s="146">
        <f t="shared" si="8"/>
        <v>0</v>
      </c>
      <c r="N43" s="146">
        <f t="shared" si="8"/>
        <v>0</v>
      </c>
      <c r="O43" s="146">
        <f t="shared" si="8"/>
        <v>38824</v>
      </c>
      <c r="P43" s="146">
        <f t="shared" si="8"/>
        <v>16147</v>
      </c>
      <c r="Q43" s="146">
        <f t="shared" si="8"/>
        <v>2529</v>
      </c>
      <c r="R43" s="146">
        <f t="shared" si="8"/>
        <v>0</v>
      </c>
      <c r="S43" s="146">
        <f t="shared" si="8"/>
        <v>614</v>
      </c>
      <c r="T43" s="146">
        <f t="shared" si="8"/>
        <v>12419</v>
      </c>
      <c r="U43" s="146">
        <f t="shared" si="8"/>
        <v>39216</v>
      </c>
      <c r="V43" s="146">
        <f t="shared" si="8"/>
        <v>175</v>
      </c>
      <c r="W43" s="146">
        <f t="shared" si="8"/>
        <v>4967</v>
      </c>
      <c r="X43" s="146">
        <f t="shared" si="8"/>
        <v>56963</v>
      </c>
      <c r="Y43" s="146">
        <f t="shared" si="8"/>
        <v>58221</v>
      </c>
      <c r="Z43" s="146">
        <f t="shared" si="8"/>
        <v>4818</v>
      </c>
      <c r="AA43" s="146">
        <f t="shared" si="8"/>
        <v>0</v>
      </c>
      <c r="AB43" s="146">
        <f t="shared" si="8"/>
        <v>119316</v>
      </c>
      <c r="AC43" s="146">
        <f t="shared" si="8"/>
        <v>32039</v>
      </c>
      <c r="AD43" s="146">
        <f t="shared" si="8"/>
        <v>0</v>
      </c>
      <c r="AE43" s="146">
        <f t="shared" si="8"/>
        <v>0</v>
      </c>
      <c r="AF43" s="146">
        <f t="shared" si="8"/>
        <v>0</v>
      </c>
      <c r="AG43" s="146">
        <f t="shared" si="8"/>
        <v>0</v>
      </c>
      <c r="AH43" s="146">
        <f t="shared" si="8"/>
        <v>3905</v>
      </c>
      <c r="AI43" s="146">
        <f t="shared" si="8"/>
        <v>0</v>
      </c>
      <c r="AJ43" s="146">
        <f t="shared" si="8"/>
        <v>7</v>
      </c>
      <c r="AK43" s="146">
        <f t="shared" si="8"/>
        <v>0</v>
      </c>
      <c r="AL43" s="146">
        <f t="shared" si="8"/>
        <v>223</v>
      </c>
    </row>
    <row r="44" spans="1:38" s="132" customFormat="1" ht="17.25" customHeight="1">
      <c r="A44" s="167" t="s">
        <v>1193</v>
      </c>
      <c r="B44" s="233">
        <f>C44+'表七(2)'!B44</f>
        <v>117541</v>
      </c>
      <c r="C44" s="146">
        <v>114974</v>
      </c>
      <c r="D44" s="146">
        <v>5280</v>
      </c>
      <c r="E44" s="146">
        <v>26050</v>
      </c>
      <c r="F44" s="146">
        <v>40</v>
      </c>
      <c r="G44" s="146"/>
      <c r="H44" s="146"/>
      <c r="I44" s="146"/>
      <c r="J44" s="146"/>
      <c r="K44" s="146"/>
      <c r="L44" s="146">
        <v>17325</v>
      </c>
      <c r="M44" s="146"/>
      <c r="N44" s="146"/>
      <c r="O44" s="146">
        <v>5216</v>
      </c>
      <c r="P44" s="146"/>
      <c r="Q44" s="146">
        <v>1715</v>
      </c>
      <c r="R44" s="146"/>
      <c r="S44" s="146">
        <v>614</v>
      </c>
      <c r="T44" s="146">
        <v>10564</v>
      </c>
      <c r="U44" s="146">
        <v>3856</v>
      </c>
      <c r="V44" s="146">
        <v>20</v>
      </c>
      <c r="W44" s="146">
        <v>2922</v>
      </c>
      <c r="X44" s="146">
        <v>4556</v>
      </c>
      <c r="Y44" s="146">
        <v>1377</v>
      </c>
      <c r="Z44" s="146">
        <v>10</v>
      </c>
      <c r="AA44" s="146"/>
      <c r="AB44" s="146">
        <v>3457</v>
      </c>
      <c r="AC44" s="146">
        <v>31965</v>
      </c>
      <c r="AD44" s="146"/>
      <c r="AE44" s="146"/>
      <c r="AF44" s="146"/>
      <c r="AG44" s="146"/>
      <c r="AH44" s="146"/>
      <c r="AI44" s="146"/>
      <c r="AJ44" s="146">
        <v>7</v>
      </c>
      <c r="AK44" s="146"/>
      <c r="AL44" s="146"/>
    </row>
    <row r="45" spans="1:38" s="132" customFormat="1" ht="17.25" customHeight="1">
      <c r="A45" s="167" t="s">
        <v>1194</v>
      </c>
      <c r="B45" s="233">
        <f>C45+'表七(2)'!B45</f>
        <v>715473</v>
      </c>
      <c r="C45" s="146">
        <f>SUM(C46:C52)</f>
        <v>710198</v>
      </c>
      <c r="D45" s="146">
        <f t="shared" ref="D45:AL45" si="9">SUM(D46:D52)</f>
        <v>15596</v>
      </c>
      <c r="E45" s="146">
        <f t="shared" si="9"/>
        <v>109955</v>
      </c>
      <c r="F45" s="146">
        <f t="shared" si="9"/>
        <v>82077</v>
      </c>
      <c r="G45" s="146">
        <f t="shared" si="9"/>
        <v>0</v>
      </c>
      <c r="H45" s="146">
        <f t="shared" si="9"/>
        <v>6412</v>
      </c>
      <c r="I45" s="146">
        <f t="shared" si="9"/>
        <v>0</v>
      </c>
      <c r="J45" s="146">
        <f t="shared" si="9"/>
        <v>8213</v>
      </c>
      <c r="K45" s="146">
        <f t="shared" si="9"/>
        <v>21439</v>
      </c>
      <c r="L45" s="146">
        <f t="shared" si="9"/>
        <v>142402</v>
      </c>
      <c r="M45" s="146">
        <f t="shared" si="9"/>
        <v>0</v>
      </c>
      <c r="N45" s="146">
        <f t="shared" si="9"/>
        <v>0</v>
      </c>
      <c r="O45" s="146">
        <f t="shared" si="9"/>
        <v>33608</v>
      </c>
      <c r="P45" s="146">
        <f t="shared" si="9"/>
        <v>16147</v>
      </c>
      <c r="Q45" s="146">
        <f t="shared" si="9"/>
        <v>814</v>
      </c>
      <c r="R45" s="146">
        <f t="shared" si="9"/>
        <v>0</v>
      </c>
      <c r="S45" s="146">
        <f t="shared" si="9"/>
        <v>0</v>
      </c>
      <c r="T45" s="146">
        <f t="shared" si="9"/>
        <v>1855</v>
      </c>
      <c r="U45" s="146">
        <f t="shared" si="9"/>
        <v>35360</v>
      </c>
      <c r="V45" s="146">
        <f t="shared" si="9"/>
        <v>155</v>
      </c>
      <c r="W45" s="146">
        <f t="shared" si="9"/>
        <v>2045</v>
      </c>
      <c r="X45" s="146">
        <f t="shared" si="9"/>
        <v>52407</v>
      </c>
      <c r="Y45" s="146">
        <f t="shared" si="9"/>
        <v>56844</v>
      </c>
      <c r="Z45" s="146">
        <f t="shared" si="9"/>
        <v>4808</v>
      </c>
      <c r="AA45" s="146">
        <f t="shared" si="9"/>
        <v>0</v>
      </c>
      <c r="AB45" s="146">
        <f t="shared" si="9"/>
        <v>115859</v>
      </c>
      <c r="AC45" s="146">
        <f t="shared" si="9"/>
        <v>74</v>
      </c>
      <c r="AD45" s="146">
        <f t="shared" si="9"/>
        <v>0</v>
      </c>
      <c r="AE45" s="146">
        <f t="shared" si="9"/>
        <v>0</v>
      </c>
      <c r="AF45" s="146">
        <f t="shared" si="9"/>
        <v>0</v>
      </c>
      <c r="AG45" s="146">
        <f t="shared" si="9"/>
        <v>0</v>
      </c>
      <c r="AH45" s="146">
        <f t="shared" si="9"/>
        <v>3905</v>
      </c>
      <c r="AI45" s="146">
        <f t="shared" si="9"/>
        <v>0</v>
      </c>
      <c r="AJ45" s="146">
        <f t="shared" si="9"/>
        <v>0</v>
      </c>
      <c r="AK45" s="146">
        <f t="shared" si="9"/>
        <v>0</v>
      </c>
      <c r="AL45" s="146">
        <f t="shared" si="9"/>
        <v>223</v>
      </c>
    </row>
    <row r="46" spans="1:38" s="132" customFormat="1" ht="17.25" customHeight="1">
      <c r="A46" s="167" t="s">
        <v>1582</v>
      </c>
      <c r="B46" s="233">
        <f>C46+'表七(2)'!B46</f>
        <v>108191</v>
      </c>
      <c r="C46" s="146">
        <v>107062</v>
      </c>
      <c r="D46" s="146">
        <v>1904</v>
      </c>
      <c r="E46" s="146">
        <v>16668</v>
      </c>
      <c r="F46" s="146">
        <v>14970</v>
      </c>
      <c r="G46" s="146"/>
      <c r="H46" s="146"/>
      <c r="I46" s="146"/>
      <c r="J46" s="146">
        <v>2567</v>
      </c>
      <c r="K46" s="146">
        <v>3855</v>
      </c>
      <c r="L46" s="146">
        <v>19597</v>
      </c>
      <c r="M46" s="146"/>
      <c r="N46" s="146"/>
      <c r="O46" s="146">
        <v>9394</v>
      </c>
      <c r="P46" s="146">
        <v>1416</v>
      </c>
      <c r="Q46" s="146">
        <v>202</v>
      </c>
      <c r="R46" s="146"/>
      <c r="S46" s="146"/>
      <c r="T46" s="146">
        <v>318</v>
      </c>
      <c r="U46" s="146">
        <v>5234</v>
      </c>
      <c r="V46" s="146">
        <v>35</v>
      </c>
      <c r="W46" s="146">
        <v>313</v>
      </c>
      <c r="X46" s="146">
        <v>7510</v>
      </c>
      <c r="Y46" s="146">
        <v>7993</v>
      </c>
      <c r="Z46" s="146">
        <v>1179</v>
      </c>
      <c r="AA46" s="146"/>
      <c r="AB46" s="146">
        <v>13763</v>
      </c>
      <c r="AC46" s="146"/>
      <c r="AD46" s="146"/>
      <c r="AE46" s="146"/>
      <c r="AF46" s="146"/>
      <c r="AG46" s="146"/>
      <c r="AH46" s="146">
        <v>144</v>
      </c>
      <c r="AI46" s="146"/>
      <c r="AJ46" s="146"/>
      <c r="AK46" s="146"/>
      <c r="AL46" s="146"/>
    </row>
    <row r="47" spans="1:38" s="132" customFormat="1" ht="17.25" customHeight="1">
      <c r="A47" s="167" t="s">
        <v>1583</v>
      </c>
      <c r="B47" s="233">
        <f>C47+'表七(2)'!B47</f>
        <v>142378</v>
      </c>
      <c r="C47" s="146">
        <v>141689</v>
      </c>
      <c r="D47" s="146">
        <v>2991</v>
      </c>
      <c r="E47" s="146">
        <v>22726</v>
      </c>
      <c r="F47" s="146">
        <v>16969</v>
      </c>
      <c r="G47" s="146"/>
      <c r="H47" s="146"/>
      <c r="I47" s="146"/>
      <c r="J47" s="146">
        <v>3579</v>
      </c>
      <c r="K47" s="146">
        <v>3293</v>
      </c>
      <c r="L47" s="146">
        <v>26209</v>
      </c>
      <c r="M47" s="146"/>
      <c r="N47" s="146"/>
      <c r="O47" s="146">
        <v>8473</v>
      </c>
      <c r="P47" s="146">
        <v>3935</v>
      </c>
      <c r="Q47" s="146">
        <v>123</v>
      </c>
      <c r="R47" s="146"/>
      <c r="S47" s="146"/>
      <c r="T47" s="146">
        <v>220</v>
      </c>
      <c r="U47" s="146">
        <v>7176</v>
      </c>
      <c r="V47" s="146">
        <v>20</v>
      </c>
      <c r="W47" s="146">
        <v>559</v>
      </c>
      <c r="X47" s="146">
        <v>11115</v>
      </c>
      <c r="Y47" s="146">
        <v>9581</v>
      </c>
      <c r="Z47" s="146">
        <v>1255</v>
      </c>
      <c r="AA47" s="146"/>
      <c r="AB47" s="146">
        <v>21832</v>
      </c>
      <c r="AC47" s="146"/>
      <c r="AD47" s="146"/>
      <c r="AE47" s="146"/>
      <c r="AF47" s="146"/>
      <c r="AG47" s="146"/>
      <c r="AH47" s="146">
        <v>1633</v>
      </c>
      <c r="AI47" s="146"/>
      <c r="AJ47" s="146"/>
      <c r="AK47" s="146"/>
      <c r="AL47" s="146"/>
    </row>
    <row r="48" spans="1:38" s="132" customFormat="1" ht="17.25" customHeight="1">
      <c r="A48" s="167" t="s">
        <v>1584</v>
      </c>
      <c r="B48" s="233">
        <f>C48+'表七(2)'!B48</f>
        <v>125604</v>
      </c>
      <c r="C48" s="146">
        <v>124814</v>
      </c>
      <c r="D48" s="146">
        <v>1927</v>
      </c>
      <c r="E48" s="146">
        <v>18604</v>
      </c>
      <c r="F48" s="146">
        <v>12203</v>
      </c>
      <c r="G48" s="146"/>
      <c r="H48" s="146"/>
      <c r="I48" s="146"/>
      <c r="J48" s="146">
        <v>692</v>
      </c>
      <c r="K48" s="146">
        <v>5499</v>
      </c>
      <c r="L48" s="146">
        <v>25236</v>
      </c>
      <c r="M48" s="146"/>
      <c r="N48" s="146"/>
      <c r="O48" s="146"/>
      <c r="P48" s="146"/>
      <c r="Q48" s="146">
        <v>95</v>
      </c>
      <c r="R48" s="146"/>
      <c r="S48" s="146"/>
      <c r="T48" s="146">
        <v>349</v>
      </c>
      <c r="U48" s="146">
        <v>7181</v>
      </c>
      <c r="V48" s="146">
        <v>35</v>
      </c>
      <c r="W48" s="146">
        <v>382</v>
      </c>
      <c r="X48" s="146">
        <v>12112</v>
      </c>
      <c r="Y48" s="146">
        <v>11081</v>
      </c>
      <c r="Z48" s="146">
        <v>854</v>
      </c>
      <c r="AA48" s="146"/>
      <c r="AB48" s="146">
        <v>27266</v>
      </c>
      <c r="AC48" s="146"/>
      <c r="AD48" s="146"/>
      <c r="AE48" s="146"/>
      <c r="AF48" s="146"/>
      <c r="AG48" s="146"/>
      <c r="AH48" s="146">
        <v>1075</v>
      </c>
      <c r="AI48" s="146"/>
      <c r="AJ48" s="146"/>
      <c r="AK48" s="146"/>
      <c r="AL48" s="146">
        <v>223</v>
      </c>
    </row>
    <row r="49" spans="1:38" s="132" customFormat="1" ht="17.25" customHeight="1">
      <c r="A49" s="168" t="s">
        <v>1585</v>
      </c>
      <c r="B49" s="233">
        <f>C49+'表七(2)'!B49</f>
        <v>106454</v>
      </c>
      <c r="C49" s="146">
        <v>106324</v>
      </c>
      <c r="D49" s="146">
        <v>546</v>
      </c>
      <c r="E49" s="146">
        <v>16595</v>
      </c>
      <c r="F49" s="146">
        <v>14526</v>
      </c>
      <c r="G49" s="146"/>
      <c r="H49" s="146"/>
      <c r="I49" s="146"/>
      <c r="J49" s="146">
        <v>677</v>
      </c>
      <c r="K49" s="146"/>
      <c r="L49" s="146">
        <v>25657</v>
      </c>
      <c r="M49" s="146"/>
      <c r="N49" s="146"/>
      <c r="O49" s="146"/>
      <c r="P49" s="146"/>
      <c r="Q49" s="146">
        <v>66</v>
      </c>
      <c r="R49" s="146"/>
      <c r="S49" s="146"/>
      <c r="T49" s="146">
        <v>571</v>
      </c>
      <c r="U49" s="146">
        <v>5860</v>
      </c>
      <c r="V49" s="146">
        <v>35</v>
      </c>
      <c r="W49" s="146">
        <v>179</v>
      </c>
      <c r="X49" s="146">
        <v>10099</v>
      </c>
      <c r="Y49" s="146">
        <v>11338</v>
      </c>
      <c r="Z49" s="146">
        <v>154</v>
      </c>
      <c r="AA49" s="146"/>
      <c r="AB49" s="146">
        <v>19359</v>
      </c>
      <c r="AC49" s="146"/>
      <c r="AD49" s="146"/>
      <c r="AE49" s="146"/>
      <c r="AF49" s="146"/>
      <c r="AG49" s="146"/>
      <c r="AH49" s="146">
        <v>662</v>
      </c>
      <c r="AI49" s="146"/>
      <c r="AJ49" s="146"/>
      <c r="AK49" s="146"/>
      <c r="AL49" s="146"/>
    </row>
    <row r="50" spans="1:38" s="132" customFormat="1" ht="17.25" customHeight="1">
      <c r="A50" s="167" t="s">
        <v>1586</v>
      </c>
      <c r="B50" s="233">
        <f>C50+'表七(2)'!B50</f>
        <v>102132</v>
      </c>
      <c r="C50" s="146">
        <v>100533</v>
      </c>
      <c r="D50" s="146">
        <v>3147</v>
      </c>
      <c r="E50" s="146">
        <v>15387</v>
      </c>
      <c r="F50" s="146">
        <v>10725</v>
      </c>
      <c r="G50" s="146"/>
      <c r="H50" s="146">
        <v>6412</v>
      </c>
      <c r="I50" s="146"/>
      <c r="J50" s="146">
        <v>698</v>
      </c>
      <c r="K50" s="146">
        <v>4053</v>
      </c>
      <c r="L50" s="146">
        <v>18091</v>
      </c>
      <c r="M50" s="146"/>
      <c r="N50" s="146"/>
      <c r="O50" s="146">
        <v>4815</v>
      </c>
      <c r="P50" s="146">
        <v>6868</v>
      </c>
      <c r="Q50" s="146">
        <v>116</v>
      </c>
      <c r="R50" s="146"/>
      <c r="S50" s="146"/>
      <c r="T50" s="146">
        <v>187</v>
      </c>
      <c r="U50" s="146">
        <v>4013</v>
      </c>
      <c r="V50" s="146">
        <v>10</v>
      </c>
      <c r="W50" s="146">
        <v>200</v>
      </c>
      <c r="X50" s="146">
        <v>2574</v>
      </c>
      <c r="Y50" s="146">
        <v>10571</v>
      </c>
      <c r="Z50" s="146"/>
      <c r="AA50" s="146"/>
      <c r="AB50" s="146">
        <v>12569</v>
      </c>
      <c r="AC50" s="146"/>
      <c r="AD50" s="146"/>
      <c r="AE50" s="146"/>
      <c r="AF50" s="146"/>
      <c r="AG50" s="146"/>
      <c r="AH50" s="146">
        <v>97</v>
      </c>
      <c r="AI50" s="146"/>
      <c r="AJ50" s="146"/>
      <c r="AK50" s="146"/>
      <c r="AL50" s="146"/>
    </row>
    <row r="51" spans="1:38" s="132" customFormat="1" ht="17.25" customHeight="1">
      <c r="A51" s="168" t="s">
        <v>1587</v>
      </c>
      <c r="B51" s="233">
        <f>C51+'表七(2)'!B51</f>
        <v>75260</v>
      </c>
      <c r="C51" s="146">
        <v>74814</v>
      </c>
      <c r="D51" s="146">
        <v>3166</v>
      </c>
      <c r="E51" s="146">
        <v>13437</v>
      </c>
      <c r="F51" s="146">
        <v>10339</v>
      </c>
      <c r="G51" s="146"/>
      <c r="H51" s="146"/>
      <c r="I51" s="146"/>
      <c r="J51" s="146"/>
      <c r="K51" s="146">
        <v>4739</v>
      </c>
      <c r="L51" s="146">
        <v>13188</v>
      </c>
      <c r="M51" s="146"/>
      <c r="N51" s="146"/>
      <c r="O51" s="146">
        <v>6888</v>
      </c>
      <c r="P51" s="146">
        <v>2689</v>
      </c>
      <c r="Q51" s="146">
        <v>106</v>
      </c>
      <c r="R51" s="146"/>
      <c r="S51" s="146"/>
      <c r="T51" s="146">
        <v>63</v>
      </c>
      <c r="U51" s="146">
        <v>2056</v>
      </c>
      <c r="V51" s="146">
        <v>10</v>
      </c>
      <c r="W51" s="146">
        <v>181</v>
      </c>
      <c r="X51" s="146">
        <v>4633</v>
      </c>
      <c r="Y51" s="146">
        <v>3249</v>
      </c>
      <c r="Z51" s="146">
        <v>993</v>
      </c>
      <c r="AA51" s="146"/>
      <c r="AB51" s="146">
        <v>8918</v>
      </c>
      <c r="AC51" s="146"/>
      <c r="AD51" s="146"/>
      <c r="AE51" s="146"/>
      <c r="AF51" s="146"/>
      <c r="AG51" s="146"/>
      <c r="AH51" s="146">
        <v>159</v>
      </c>
      <c r="AI51" s="146"/>
      <c r="AJ51" s="146"/>
      <c r="AK51" s="146"/>
      <c r="AL51" s="146"/>
    </row>
    <row r="52" spans="1:38" s="132" customFormat="1" ht="15.95" customHeight="1">
      <c r="A52" s="168" t="s">
        <v>1588</v>
      </c>
      <c r="B52" s="233">
        <f>C52+'表七(2)'!B52</f>
        <v>55454</v>
      </c>
      <c r="C52" s="146">
        <v>54962</v>
      </c>
      <c r="D52" s="146">
        <v>1915</v>
      </c>
      <c r="E52" s="146">
        <v>6538</v>
      </c>
      <c r="F52" s="146">
        <v>2345</v>
      </c>
      <c r="G52" s="146"/>
      <c r="H52" s="146"/>
      <c r="I52" s="146"/>
      <c r="J52" s="146"/>
      <c r="K52" s="146"/>
      <c r="L52" s="146">
        <v>14424</v>
      </c>
      <c r="M52" s="146"/>
      <c r="N52" s="146"/>
      <c r="O52" s="146">
        <v>4038</v>
      </c>
      <c r="P52" s="146">
        <v>1239</v>
      </c>
      <c r="Q52" s="146">
        <v>106</v>
      </c>
      <c r="R52" s="146"/>
      <c r="S52" s="146"/>
      <c r="T52" s="146">
        <v>147</v>
      </c>
      <c r="U52" s="146">
        <v>3840</v>
      </c>
      <c r="V52" s="146">
        <v>10</v>
      </c>
      <c r="W52" s="146">
        <v>231</v>
      </c>
      <c r="X52" s="146">
        <v>4364</v>
      </c>
      <c r="Y52" s="146">
        <v>3031</v>
      </c>
      <c r="Z52" s="146">
        <v>373</v>
      </c>
      <c r="AA52" s="146"/>
      <c r="AB52" s="146">
        <v>12152</v>
      </c>
      <c r="AC52" s="146">
        <v>74</v>
      </c>
      <c r="AD52" s="146"/>
      <c r="AE52" s="146"/>
      <c r="AF52" s="146"/>
      <c r="AG52" s="146"/>
      <c r="AH52" s="146">
        <v>135</v>
      </c>
      <c r="AI52" s="146"/>
      <c r="AJ52" s="146"/>
      <c r="AK52" s="146"/>
      <c r="AL52" s="146"/>
    </row>
    <row r="53" spans="1:38" s="134" customFormat="1" ht="17.25" customHeight="1">
      <c r="A53" s="161" t="s">
        <v>1670</v>
      </c>
      <c r="B53" s="233">
        <f>C53+'表七(2)'!B53</f>
        <v>887589</v>
      </c>
      <c r="C53" s="146">
        <v>857840</v>
      </c>
      <c r="D53" s="146">
        <v>35939</v>
      </c>
      <c r="E53" s="146">
        <v>115566</v>
      </c>
      <c r="F53" s="146">
        <v>69134</v>
      </c>
      <c r="G53" s="146">
        <v>0</v>
      </c>
      <c r="H53" s="146">
        <v>2534</v>
      </c>
      <c r="I53" s="146">
        <v>623</v>
      </c>
      <c r="J53" s="146">
        <v>7295</v>
      </c>
      <c r="K53" s="146">
        <v>51825</v>
      </c>
      <c r="L53" s="146">
        <v>141975</v>
      </c>
      <c r="M53" s="146">
        <v>0</v>
      </c>
      <c r="N53" s="146">
        <v>0</v>
      </c>
      <c r="O53" s="146">
        <v>50331</v>
      </c>
      <c r="P53" s="146">
        <v>22200</v>
      </c>
      <c r="Q53" s="146">
        <v>2082</v>
      </c>
      <c r="R53" s="146">
        <v>0</v>
      </c>
      <c r="S53" s="146">
        <v>451</v>
      </c>
      <c r="T53" s="146">
        <v>10231</v>
      </c>
      <c r="U53" s="146">
        <v>35607</v>
      </c>
      <c r="V53" s="146">
        <v>100</v>
      </c>
      <c r="W53" s="146">
        <v>6135</v>
      </c>
      <c r="X53" s="146">
        <v>45544</v>
      </c>
      <c r="Y53" s="146">
        <v>36781</v>
      </c>
      <c r="Z53" s="146">
        <v>4932</v>
      </c>
      <c r="AA53" s="146">
        <v>0</v>
      </c>
      <c r="AB53" s="146">
        <v>91756</v>
      </c>
      <c r="AC53" s="146">
        <v>118572</v>
      </c>
      <c r="AD53" s="146">
        <v>307</v>
      </c>
      <c r="AE53" s="146">
        <v>0</v>
      </c>
      <c r="AF53" s="146">
        <v>0</v>
      </c>
      <c r="AG53" s="146">
        <v>0</v>
      </c>
      <c r="AH53" s="146">
        <v>7125</v>
      </c>
      <c r="AI53" s="146">
        <v>0</v>
      </c>
      <c r="AJ53" s="146">
        <v>8</v>
      </c>
      <c r="AK53" s="146">
        <v>0</v>
      </c>
      <c r="AL53" s="146">
        <v>787</v>
      </c>
    </row>
    <row r="54" spans="1:38" s="134" customFormat="1" ht="17.25" customHeight="1">
      <c r="A54" s="167" t="s">
        <v>1193</v>
      </c>
      <c r="B54" s="233">
        <f>C54+'表七(2)'!B54</f>
        <v>252463</v>
      </c>
      <c r="C54" s="146">
        <v>234374</v>
      </c>
      <c r="D54" s="211">
        <v>15526</v>
      </c>
      <c r="E54" s="211">
        <v>24048</v>
      </c>
      <c r="F54" s="211">
        <v>133</v>
      </c>
      <c r="G54" s="211"/>
      <c r="H54" s="211"/>
      <c r="I54" s="211"/>
      <c r="J54" s="211"/>
      <c r="K54" s="211"/>
      <c r="L54" s="211">
        <v>23325</v>
      </c>
      <c r="M54" s="211"/>
      <c r="N54" s="211"/>
      <c r="O54" s="211">
        <v>4778</v>
      </c>
      <c r="P54" s="211"/>
      <c r="Q54" s="212">
        <v>39</v>
      </c>
      <c r="R54" s="212"/>
      <c r="S54" s="212"/>
      <c r="T54" s="212">
        <v>1387</v>
      </c>
      <c r="U54" s="212">
        <v>4328</v>
      </c>
      <c r="V54" s="212"/>
      <c r="W54" s="212">
        <v>2356</v>
      </c>
      <c r="X54" s="212">
        <v>4387</v>
      </c>
      <c r="Y54" s="212">
        <v>1441</v>
      </c>
      <c r="Z54" s="212">
        <v>20</v>
      </c>
      <c r="AA54" s="212"/>
      <c r="AB54" s="212">
        <v>36362</v>
      </c>
      <c r="AC54" s="212">
        <v>116236</v>
      </c>
      <c r="AD54" s="212"/>
      <c r="AE54" s="212"/>
      <c r="AF54" s="212"/>
      <c r="AG54" s="212"/>
      <c r="AH54" s="212"/>
      <c r="AI54" s="212"/>
      <c r="AJ54" s="212">
        <v>8</v>
      </c>
      <c r="AK54" s="212"/>
      <c r="AL54" s="146"/>
    </row>
    <row r="55" spans="1:38" s="134" customFormat="1" ht="17.25" customHeight="1">
      <c r="A55" s="167" t="s">
        <v>1194</v>
      </c>
      <c r="B55" s="233">
        <f>C55+'表七(2)'!B55</f>
        <v>635126</v>
      </c>
      <c r="C55" s="146">
        <v>623466</v>
      </c>
      <c r="D55" s="146">
        <v>20413</v>
      </c>
      <c r="E55" s="146">
        <v>91518</v>
      </c>
      <c r="F55" s="146">
        <v>69001</v>
      </c>
      <c r="G55" s="146">
        <v>0</v>
      </c>
      <c r="H55" s="146">
        <v>2534</v>
      </c>
      <c r="I55" s="146">
        <v>623</v>
      </c>
      <c r="J55" s="146">
        <v>7295</v>
      </c>
      <c r="K55" s="146">
        <v>51825</v>
      </c>
      <c r="L55" s="146">
        <v>118650</v>
      </c>
      <c r="M55" s="146">
        <v>0</v>
      </c>
      <c r="N55" s="146">
        <v>0</v>
      </c>
      <c r="O55" s="146">
        <v>45553</v>
      </c>
      <c r="P55" s="146">
        <v>22200</v>
      </c>
      <c r="Q55" s="146">
        <v>2043</v>
      </c>
      <c r="R55" s="146">
        <v>0</v>
      </c>
      <c r="S55" s="146">
        <v>451</v>
      </c>
      <c r="T55" s="146">
        <v>8844</v>
      </c>
      <c r="U55" s="146">
        <v>31279</v>
      </c>
      <c r="V55" s="146">
        <v>100</v>
      </c>
      <c r="W55" s="146">
        <v>3779</v>
      </c>
      <c r="X55" s="146">
        <v>41157</v>
      </c>
      <c r="Y55" s="146">
        <v>35340</v>
      </c>
      <c r="Z55" s="146">
        <v>4912</v>
      </c>
      <c r="AA55" s="146">
        <v>0</v>
      </c>
      <c r="AB55" s="146">
        <v>55394</v>
      </c>
      <c r="AC55" s="146">
        <v>2336</v>
      </c>
      <c r="AD55" s="146">
        <v>307</v>
      </c>
      <c r="AE55" s="146">
        <v>0</v>
      </c>
      <c r="AF55" s="146">
        <v>0</v>
      </c>
      <c r="AG55" s="146">
        <v>0</v>
      </c>
      <c r="AH55" s="146">
        <v>7125</v>
      </c>
      <c r="AI55" s="146">
        <v>0</v>
      </c>
      <c r="AJ55" s="146">
        <v>0</v>
      </c>
      <c r="AK55" s="146">
        <v>0</v>
      </c>
      <c r="AL55" s="146">
        <v>787</v>
      </c>
    </row>
    <row r="56" spans="1:38" s="134" customFormat="1" ht="17.25" customHeight="1">
      <c r="A56" s="167" t="s">
        <v>1589</v>
      </c>
      <c r="B56" s="233">
        <f>C56+'表七(2)'!B56</f>
        <v>129394</v>
      </c>
      <c r="C56" s="146">
        <v>126823</v>
      </c>
      <c r="D56" s="211">
        <v>2207</v>
      </c>
      <c r="E56" s="211">
        <v>25859</v>
      </c>
      <c r="F56" s="211">
        <v>15083</v>
      </c>
      <c r="G56" s="211"/>
      <c r="H56" s="211"/>
      <c r="I56" s="211">
        <v>151</v>
      </c>
      <c r="J56" s="211">
        <v>1643</v>
      </c>
      <c r="K56" s="211">
        <v>6896</v>
      </c>
      <c r="L56" s="211">
        <v>27881</v>
      </c>
      <c r="M56" s="211"/>
      <c r="N56" s="211"/>
      <c r="O56" s="211">
        <v>6088</v>
      </c>
      <c r="P56" s="211">
        <v>2643</v>
      </c>
      <c r="Q56" s="211">
        <v>408</v>
      </c>
      <c r="R56" s="211"/>
      <c r="S56" s="211">
        <v>100</v>
      </c>
      <c r="T56" s="211">
        <v>1771</v>
      </c>
      <c r="U56" s="211">
        <v>4850</v>
      </c>
      <c r="V56" s="211">
        <v>20</v>
      </c>
      <c r="W56" s="211">
        <v>458</v>
      </c>
      <c r="X56" s="211">
        <v>10967</v>
      </c>
      <c r="Y56" s="211">
        <v>9001</v>
      </c>
      <c r="Z56" s="211">
        <v>370</v>
      </c>
      <c r="AA56" s="211"/>
      <c r="AB56" s="211">
        <v>7587</v>
      </c>
      <c r="AC56" s="211">
        <v>611</v>
      </c>
      <c r="AD56" s="211">
        <v>67</v>
      </c>
      <c r="AE56" s="211"/>
      <c r="AF56" s="211"/>
      <c r="AG56" s="211"/>
      <c r="AH56" s="211">
        <v>1848</v>
      </c>
      <c r="AI56" s="211"/>
      <c r="AJ56" s="211"/>
      <c r="AK56" s="211"/>
      <c r="AL56" s="211">
        <v>314</v>
      </c>
    </row>
    <row r="57" spans="1:38" s="134" customFormat="1" ht="17.25" customHeight="1">
      <c r="A57" s="167" t="s">
        <v>1590</v>
      </c>
      <c r="B57" s="233">
        <f>C57+'表七(2)'!B57</f>
        <v>78937</v>
      </c>
      <c r="C57" s="146">
        <v>78644</v>
      </c>
      <c r="D57" s="211">
        <v>2551</v>
      </c>
      <c r="E57" s="211">
        <v>11184</v>
      </c>
      <c r="F57" s="211">
        <v>10162</v>
      </c>
      <c r="G57" s="211"/>
      <c r="H57" s="211"/>
      <c r="I57" s="211"/>
      <c r="J57" s="211">
        <v>1126</v>
      </c>
      <c r="K57" s="211">
        <v>7487</v>
      </c>
      <c r="L57" s="211">
        <v>14203</v>
      </c>
      <c r="M57" s="211"/>
      <c r="N57" s="211"/>
      <c r="O57" s="211">
        <v>4718</v>
      </c>
      <c r="P57" s="211">
        <v>2086</v>
      </c>
      <c r="Q57" s="211">
        <v>308</v>
      </c>
      <c r="R57" s="211"/>
      <c r="S57" s="211">
        <v>66</v>
      </c>
      <c r="T57" s="211">
        <v>1447</v>
      </c>
      <c r="U57" s="211">
        <v>3661</v>
      </c>
      <c r="V57" s="211">
        <v>10</v>
      </c>
      <c r="W57" s="211">
        <v>767</v>
      </c>
      <c r="X57" s="211">
        <v>5258</v>
      </c>
      <c r="Y57" s="211">
        <v>4654</v>
      </c>
      <c r="Z57" s="211">
        <v>1192</v>
      </c>
      <c r="AA57" s="211"/>
      <c r="AB57" s="211">
        <v>6522</v>
      </c>
      <c r="AC57" s="211">
        <v>321</v>
      </c>
      <c r="AD57" s="211">
        <v>40</v>
      </c>
      <c r="AE57" s="211"/>
      <c r="AF57" s="211"/>
      <c r="AG57" s="211"/>
      <c r="AH57" s="211">
        <v>881</v>
      </c>
      <c r="AI57" s="211"/>
      <c r="AJ57" s="211"/>
      <c r="AK57" s="211"/>
      <c r="AL57" s="211"/>
    </row>
    <row r="58" spans="1:38" s="134" customFormat="1" ht="17.25" customHeight="1">
      <c r="A58" s="167" t="s">
        <v>1591</v>
      </c>
      <c r="B58" s="233">
        <f>C58+'表七(2)'!B58</f>
        <v>83569</v>
      </c>
      <c r="C58" s="146">
        <v>83066</v>
      </c>
      <c r="D58" s="211">
        <v>2790</v>
      </c>
      <c r="E58" s="211">
        <v>11945</v>
      </c>
      <c r="F58" s="211">
        <v>8061</v>
      </c>
      <c r="G58" s="211"/>
      <c r="H58" s="211"/>
      <c r="I58" s="211"/>
      <c r="J58" s="211">
        <v>1313</v>
      </c>
      <c r="K58" s="211">
        <v>6820</v>
      </c>
      <c r="L58" s="211">
        <v>15279</v>
      </c>
      <c r="M58" s="211"/>
      <c r="N58" s="211"/>
      <c r="O58" s="211">
        <v>7661</v>
      </c>
      <c r="P58" s="211">
        <v>1472</v>
      </c>
      <c r="Q58" s="211">
        <v>306</v>
      </c>
      <c r="R58" s="211"/>
      <c r="S58" s="211">
        <v>66</v>
      </c>
      <c r="T58" s="211">
        <v>1100</v>
      </c>
      <c r="U58" s="211">
        <v>5402</v>
      </c>
      <c r="V58" s="211">
        <v>10</v>
      </c>
      <c r="W58" s="211">
        <v>508</v>
      </c>
      <c r="X58" s="211">
        <v>5353</v>
      </c>
      <c r="Y58" s="211">
        <v>5472</v>
      </c>
      <c r="Z58" s="211">
        <v>484</v>
      </c>
      <c r="AA58" s="211"/>
      <c r="AB58" s="211">
        <v>7746</v>
      </c>
      <c r="AC58" s="211">
        <v>379</v>
      </c>
      <c r="AD58" s="211">
        <v>30</v>
      </c>
      <c r="AE58" s="211"/>
      <c r="AF58" s="211"/>
      <c r="AG58" s="211"/>
      <c r="AH58" s="211">
        <v>631</v>
      </c>
      <c r="AI58" s="211"/>
      <c r="AJ58" s="211"/>
      <c r="AK58" s="211"/>
      <c r="AL58" s="211">
        <v>238</v>
      </c>
    </row>
    <row r="59" spans="1:38" s="134" customFormat="1" ht="17.25" customHeight="1">
      <c r="A59" s="168" t="s">
        <v>1592</v>
      </c>
      <c r="B59" s="233">
        <f>C59+'表七(2)'!B59</f>
        <v>75198</v>
      </c>
      <c r="C59" s="146">
        <v>74839</v>
      </c>
      <c r="D59" s="211">
        <v>2783</v>
      </c>
      <c r="E59" s="211">
        <v>10664</v>
      </c>
      <c r="F59" s="211">
        <v>7234</v>
      </c>
      <c r="G59" s="211">
        <v>0</v>
      </c>
      <c r="H59" s="211">
        <v>0</v>
      </c>
      <c r="I59" s="211"/>
      <c r="J59" s="211">
        <v>375</v>
      </c>
      <c r="K59" s="211">
        <v>5915</v>
      </c>
      <c r="L59" s="211">
        <v>15149</v>
      </c>
      <c r="M59" s="211">
        <v>0</v>
      </c>
      <c r="N59" s="211"/>
      <c r="O59" s="211">
        <v>8856</v>
      </c>
      <c r="P59" s="211">
        <v>5505</v>
      </c>
      <c r="Q59" s="211">
        <v>265</v>
      </c>
      <c r="R59" s="211">
        <v>0</v>
      </c>
      <c r="S59" s="211">
        <v>53</v>
      </c>
      <c r="T59" s="211">
        <v>1142</v>
      </c>
      <c r="U59" s="211">
        <v>3270</v>
      </c>
      <c r="V59" s="211">
        <v>20</v>
      </c>
      <c r="W59" s="211">
        <v>531</v>
      </c>
      <c r="X59" s="211">
        <v>3678</v>
      </c>
      <c r="Y59" s="211">
        <v>2212</v>
      </c>
      <c r="Z59" s="211">
        <v>1706</v>
      </c>
      <c r="AA59" s="211">
        <v>0</v>
      </c>
      <c r="AB59" s="211">
        <v>3495</v>
      </c>
      <c r="AC59" s="211">
        <v>179</v>
      </c>
      <c r="AD59" s="211">
        <v>30</v>
      </c>
      <c r="AE59" s="211"/>
      <c r="AF59" s="211"/>
      <c r="AG59" s="211"/>
      <c r="AH59" s="211">
        <v>1777</v>
      </c>
      <c r="AI59" s="211"/>
      <c r="AJ59" s="211"/>
      <c r="AK59" s="211"/>
      <c r="AL59" s="211"/>
    </row>
    <row r="60" spans="1:38" s="134" customFormat="1" ht="17.25" customHeight="1">
      <c r="A60" s="167" t="s">
        <v>1593</v>
      </c>
      <c r="B60" s="233">
        <f>C60+'表七(2)'!B60</f>
        <v>84130</v>
      </c>
      <c r="C60" s="146">
        <v>81677</v>
      </c>
      <c r="D60" s="211">
        <v>4831</v>
      </c>
      <c r="E60" s="211">
        <v>9733</v>
      </c>
      <c r="F60" s="211">
        <v>9328</v>
      </c>
      <c r="G60" s="211">
        <v>0</v>
      </c>
      <c r="H60" s="211">
        <v>0</v>
      </c>
      <c r="I60" s="211">
        <v>0</v>
      </c>
      <c r="J60" s="211">
        <v>1770</v>
      </c>
      <c r="K60" s="211">
        <v>7236</v>
      </c>
      <c r="L60" s="211">
        <v>14416</v>
      </c>
      <c r="M60" s="211">
        <v>0</v>
      </c>
      <c r="N60" s="211">
        <v>0</v>
      </c>
      <c r="O60" s="211">
        <v>5090</v>
      </c>
      <c r="P60" s="211">
        <v>2443</v>
      </c>
      <c r="Q60" s="211">
        <v>270</v>
      </c>
      <c r="R60" s="211">
        <v>0</v>
      </c>
      <c r="S60" s="211">
        <v>66</v>
      </c>
      <c r="T60" s="211">
        <v>1274</v>
      </c>
      <c r="U60" s="211">
        <v>3647</v>
      </c>
      <c r="V60" s="211">
        <v>10</v>
      </c>
      <c r="W60" s="211">
        <v>379</v>
      </c>
      <c r="X60" s="211">
        <v>5111</v>
      </c>
      <c r="Y60" s="211">
        <v>3897</v>
      </c>
      <c r="Z60" s="211">
        <v>175</v>
      </c>
      <c r="AA60" s="211">
        <v>0</v>
      </c>
      <c r="AB60" s="211">
        <v>10663</v>
      </c>
      <c r="AC60" s="211">
        <v>373</v>
      </c>
      <c r="AD60" s="211">
        <v>40</v>
      </c>
      <c r="AE60" s="211">
        <v>0</v>
      </c>
      <c r="AF60" s="211">
        <v>0</v>
      </c>
      <c r="AG60" s="211">
        <v>0</v>
      </c>
      <c r="AH60" s="211">
        <v>925</v>
      </c>
      <c r="AI60" s="211">
        <v>0</v>
      </c>
      <c r="AJ60" s="211">
        <v>0</v>
      </c>
      <c r="AK60" s="211">
        <v>0</v>
      </c>
      <c r="AL60" s="211">
        <v>0</v>
      </c>
    </row>
    <row r="61" spans="1:38" s="134" customFormat="1" ht="17.25" customHeight="1">
      <c r="A61" s="168" t="s">
        <v>1594</v>
      </c>
      <c r="B61" s="233">
        <f>C61+'表七(2)'!B61</f>
        <v>95654</v>
      </c>
      <c r="C61" s="146">
        <v>90420</v>
      </c>
      <c r="D61" s="211">
        <v>2330</v>
      </c>
      <c r="E61" s="211">
        <v>10313</v>
      </c>
      <c r="F61" s="211">
        <v>7769</v>
      </c>
      <c r="G61" s="211"/>
      <c r="H61" s="211">
        <v>2534</v>
      </c>
      <c r="I61" s="211">
        <v>472</v>
      </c>
      <c r="J61" s="211">
        <v>535</v>
      </c>
      <c r="K61" s="211">
        <v>10093</v>
      </c>
      <c r="L61" s="211">
        <v>15250</v>
      </c>
      <c r="M61" s="211"/>
      <c r="N61" s="211"/>
      <c r="O61" s="211">
        <v>5640</v>
      </c>
      <c r="P61" s="211">
        <v>1903</v>
      </c>
      <c r="Q61" s="211">
        <v>243</v>
      </c>
      <c r="R61" s="211"/>
      <c r="S61" s="211">
        <v>50</v>
      </c>
      <c r="T61" s="211">
        <v>1120</v>
      </c>
      <c r="U61" s="211">
        <v>5299</v>
      </c>
      <c r="V61" s="211">
        <v>10</v>
      </c>
      <c r="W61" s="211">
        <v>520</v>
      </c>
      <c r="X61" s="211">
        <v>6279</v>
      </c>
      <c r="Y61" s="211">
        <v>6084</v>
      </c>
      <c r="Z61" s="211">
        <v>134</v>
      </c>
      <c r="AA61" s="211"/>
      <c r="AB61" s="211">
        <v>12650</v>
      </c>
      <c r="AC61" s="211">
        <v>292</v>
      </c>
      <c r="AD61" s="211">
        <v>60</v>
      </c>
      <c r="AE61" s="211"/>
      <c r="AF61" s="211"/>
      <c r="AG61" s="211"/>
      <c r="AH61" s="211">
        <v>605</v>
      </c>
      <c r="AI61" s="211"/>
      <c r="AJ61" s="211"/>
      <c r="AK61" s="211"/>
      <c r="AL61" s="211">
        <v>235</v>
      </c>
    </row>
    <row r="62" spans="1:38" s="134" customFormat="1" ht="15.95" customHeight="1">
      <c r="A62" s="168" t="s">
        <v>1595</v>
      </c>
      <c r="B62" s="233">
        <f>C62+'表七(2)'!B62</f>
        <v>88244</v>
      </c>
      <c r="C62" s="146">
        <v>87997</v>
      </c>
      <c r="D62" s="211">
        <v>2921</v>
      </c>
      <c r="E62" s="211">
        <v>11820</v>
      </c>
      <c r="F62" s="211">
        <v>11364</v>
      </c>
      <c r="G62" s="211">
        <v>0</v>
      </c>
      <c r="H62" s="211">
        <v>0</v>
      </c>
      <c r="I62" s="211">
        <v>0</v>
      </c>
      <c r="J62" s="211">
        <v>533</v>
      </c>
      <c r="K62" s="211">
        <v>7378</v>
      </c>
      <c r="L62" s="211">
        <v>16472</v>
      </c>
      <c r="M62" s="211">
        <v>0</v>
      </c>
      <c r="N62" s="211">
        <v>0</v>
      </c>
      <c r="O62" s="211">
        <v>7500</v>
      </c>
      <c r="P62" s="211">
        <v>6148</v>
      </c>
      <c r="Q62" s="211">
        <v>243</v>
      </c>
      <c r="R62" s="211">
        <v>0</v>
      </c>
      <c r="S62" s="211">
        <v>50</v>
      </c>
      <c r="T62" s="211">
        <v>990</v>
      </c>
      <c r="U62" s="211">
        <v>5150</v>
      </c>
      <c r="V62" s="211">
        <v>20</v>
      </c>
      <c r="W62" s="211">
        <v>616</v>
      </c>
      <c r="X62" s="211">
        <v>4511</v>
      </c>
      <c r="Y62" s="211">
        <v>4020</v>
      </c>
      <c r="Z62" s="211">
        <v>851</v>
      </c>
      <c r="AA62" s="211">
        <v>0</v>
      </c>
      <c r="AB62" s="211">
        <v>6731</v>
      </c>
      <c r="AC62" s="211">
        <v>181</v>
      </c>
      <c r="AD62" s="211">
        <v>40</v>
      </c>
      <c r="AE62" s="211">
        <v>0</v>
      </c>
      <c r="AF62" s="211">
        <v>0</v>
      </c>
      <c r="AG62" s="211">
        <v>0</v>
      </c>
      <c r="AH62" s="211">
        <v>458</v>
      </c>
      <c r="AI62" s="211">
        <v>0</v>
      </c>
      <c r="AJ62" s="211">
        <v>0</v>
      </c>
      <c r="AK62" s="211">
        <v>0</v>
      </c>
      <c r="AL62" s="211">
        <v>0</v>
      </c>
    </row>
    <row r="63" spans="1:38" s="133" customFormat="1">
      <c r="A63" s="161" t="s">
        <v>1671</v>
      </c>
      <c r="B63" s="233">
        <f>C63+'表七(2)'!B63</f>
        <v>513270</v>
      </c>
      <c r="C63" s="146">
        <v>506107</v>
      </c>
      <c r="D63" s="146">
        <v>9914</v>
      </c>
      <c r="E63" s="146">
        <v>73299</v>
      </c>
      <c r="F63" s="146">
        <v>41360</v>
      </c>
      <c r="G63" s="146">
        <v>0</v>
      </c>
      <c r="H63" s="146">
        <v>0</v>
      </c>
      <c r="I63" s="146">
        <v>47</v>
      </c>
      <c r="J63" s="146">
        <v>1985</v>
      </c>
      <c r="K63" s="146">
        <v>17394</v>
      </c>
      <c r="L63" s="146">
        <v>69570</v>
      </c>
      <c r="M63" s="146">
        <v>0</v>
      </c>
      <c r="N63" s="146">
        <v>0</v>
      </c>
      <c r="O63" s="146">
        <v>53580</v>
      </c>
      <c r="P63" s="146">
        <v>3525</v>
      </c>
      <c r="Q63" s="146">
        <v>1418</v>
      </c>
      <c r="R63" s="146">
        <v>0</v>
      </c>
      <c r="S63" s="146">
        <v>359</v>
      </c>
      <c r="T63" s="146">
        <v>6464</v>
      </c>
      <c r="U63" s="146">
        <v>20061</v>
      </c>
      <c r="V63" s="146">
        <v>35</v>
      </c>
      <c r="W63" s="146">
        <v>4950</v>
      </c>
      <c r="X63" s="146">
        <v>27647</v>
      </c>
      <c r="Y63" s="146">
        <v>23462</v>
      </c>
      <c r="Z63" s="146">
        <v>2717</v>
      </c>
      <c r="AA63" s="146">
        <v>0</v>
      </c>
      <c r="AB63" s="146">
        <v>53250</v>
      </c>
      <c r="AC63" s="146">
        <v>86393</v>
      </c>
      <c r="AD63" s="146">
        <v>157</v>
      </c>
      <c r="AE63" s="146">
        <v>0</v>
      </c>
      <c r="AF63" s="146">
        <v>0</v>
      </c>
      <c r="AG63" s="146">
        <v>0</v>
      </c>
      <c r="AH63" s="146">
        <v>8520</v>
      </c>
      <c r="AI63" s="146">
        <v>0</v>
      </c>
      <c r="AJ63" s="146">
        <v>0</v>
      </c>
      <c r="AK63" s="146">
        <v>0</v>
      </c>
      <c r="AL63" s="146">
        <v>0</v>
      </c>
    </row>
    <row r="64" spans="1:38" s="133" customFormat="1">
      <c r="A64" s="167" t="s">
        <v>1193</v>
      </c>
      <c r="B64" s="233">
        <f>C64+'表七(2)'!B64</f>
        <v>170022</v>
      </c>
      <c r="C64" s="146">
        <v>167373</v>
      </c>
      <c r="D64" s="146">
        <v>5493</v>
      </c>
      <c r="E64" s="146">
        <v>13988</v>
      </c>
      <c r="F64" s="146"/>
      <c r="G64" s="146"/>
      <c r="H64" s="146"/>
      <c r="I64" s="146">
        <v>47</v>
      </c>
      <c r="J64" s="146"/>
      <c r="K64" s="146"/>
      <c r="L64" s="146">
        <v>14727</v>
      </c>
      <c r="M64" s="146"/>
      <c r="N64" s="146"/>
      <c r="O64" s="146">
        <v>24739</v>
      </c>
      <c r="P64" s="146"/>
      <c r="Q64" s="146">
        <v>472</v>
      </c>
      <c r="R64" s="146"/>
      <c r="S64" s="146">
        <v>359</v>
      </c>
      <c r="T64" s="146">
        <v>2342</v>
      </c>
      <c r="U64" s="146">
        <v>2373</v>
      </c>
      <c r="V64" s="146"/>
      <c r="W64" s="146">
        <v>2347</v>
      </c>
      <c r="X64" s="146">
        <v>5035</v>
      </c>
      <c r="Y64" s="146">
        <v>862</v>
      </c>
      <c r="Z64" s="146">
        <v>460</v>
      </c>
      <c r="AA64" s="146"/>
      <c r="AB64" s="146">
        <v>8356</v>
      </c>
      <c r="AC64" s="146">
        <v>85732</v>
      </c>
      <c r="AD64" s="146">
        <v>41</v>
      </c>
      <c r="AE64" s="146"/>
      <c r="AF64" s="146"/>
      <c r="AG64" s="146"/>
      <c r="AH64" s="146"/>
      <c r="AI64" s="146"/>
      <c r="AJ64" s="146"/>
      <c r="AK64" s="146"/>
      <c r="AL64" s="146"/>
    </row>
    <row r="65" spans="1:38" s="133" customFormat="1">
      <c r="A65" s="167" t="s">
        <v>1194</v>
      </c>
      <c r="B65" s="233">
        <f>C65+'表七(2)'!B65</f>
        <v>343248</v>
      </c>
      <c r="C65" s="146">
        <v>338734</v>
      </c>
      <c r="D65" s="146">
        <v>4421</v>
      </c>
      <c r="E65" s="146">
        <v>59311</v>
      </c>
      <c r="F65" s="146">
        <v>41360</v>
      </c>
      <c r="G65" s="146">
        <v>0</v>
      </c>
      <c r="H65" s="146">
        <v>0</v>
      </c>
      <c r="I65" s="146">
        <v>0</v>
      </c>
      <c r="J65" s="146">
        <v>1985</v>
      </c>
      <c r="K65" s="146">
        <v>17394</v>
      </c>
      <c r="L65" s="146">
        <v>54843</v>
      </c>
      <c r="M65" s="146">
        <v>0</v>
      </c>
      <c r="N65" s="146">
        <v>0</v>
      </c>
      <c r="O65" s="146">
        <v>28841</v>
      </c>
      <c r="P65" s="146">
        <v>3525</v>
      </c>
      <c r="Q65" s="146">
        <v>946</v>
      </c>
      <c r="R65" s="146">
        <v>0</v>
      </c>
      <c r="S65" s="146">
        <v>0</v>
      </c>
      <c r="T65" s="146">
        <v>4122</v>
      </c>
      <c r="U65" s="146">
        <v>17688</v>
      </c>
      <c r="V65" s="146">
        <v>35</v>
      </c>
      <c r="W65" s="146">
        <v>2603</v>
      </c>
      <c r="X65" s="146">
        <v>22612</v>
      </c>
      <c r="Y65" s="146">
        <v>22600</v>
      </c>
      <c r="Z65" s="146">
        <v>2257</v>
      </c>
      <c r="AA65" s="146">
        <v>0</v>
      </c>
      <c r="AB65" s="146">
        <v>44894</v>
      </c>
      <c r="AC65" s="146">
        <v>661</v>
      </c>
      <c r="AD65" s="146">
        <v>116</v>
      </c>
      <c r="AE65" s="146">
        <v>0</v>
      </c>
      <c r="AF65" s="146">
        <v>0</v>
      </c>
      <c r="AG65" s="146">
        <v>0</v>
      </c>
      <c r="AH65" s="146">
        <v>8520</v>
      </c>
      <c r="AI65" s="146">
        <v>0</v>
      </c>
      <c r="AJ65" s="146">
        <v>0</v>
      </c>
      <c r="AK65" s="146">
        <v>0</v>
      </c>
      <c r="AL65" s="146">
        <v>0</v>
      </c>
    </row>
    <row r="66" spans="1:38" s="133" customFormat="1">
      <c r="A66" s="167" t="s">
        <v>1596</v>
      </c>
      <c r="B66" s="233">
        <f>C66+'表七(2)'!B66</f>
        <v>128016</v>
      </c>
      <c r="C66" s="146">
        <v>127314</v>
      </c>
      <c r="D66" s="146">
        <v>764</v>
      </c>
      <c r="E66" s="146">
        <v>21528</v>
      </c>
      <c r="F66" s="146">
        <v>15192</v>
      </c>
      <c r="G66" s="146"/>
      <c r="H66" s="146"/>
      <c r="I66" s="146"/>
      <c r="J66" s="146">
        <v>790</v>
      </c>
      <c r="K66" s="146">
        <v>4620</v>
      </c>
      <c r="L66" s="146">
        <v>21954</v>
      </c>
      <c r="M66" s="146"/>
      <c r="N66" s="146"/>
      <c r="O66" s="146">
        <v>9638</v>
      </c>
      <c r="P66" s="146">
        <v>1261</v>
      </c>
      <c r="Q66" s="146">
        <v>337</v>
      </c>
      <c r="R66" s="146"/>
      <c r="S66" s="146"/>
      <c r="T66" s="146">
        <v>1515</v>
      </c>
      <c r="U66" s="146">
        <v>8968</v>
      </c>
      <c r="V66" s="146"/>
      <c r="W66" s="146">
        <v>427</v>
      </c>
      <c r="X66" s="146">
        <v>9814</v>
      </c>
      <c r="Y66" s="146">
        <v>10744</v>
      </c>
      <c r="Z66" s="146">
        <v>291</v>
      </c>
      <c r="AA66" s="146"/>
      <c r="AB66" s="146">
        <v>15110</v>
      </c>
      <c r="AC66" s="146">
        <v>397</v>
      </c>
      <c r="AD66" s="146"/>
      <c r="AE66" s="146"/>
      <c r="AF66" s="146"/>
      <c r="AG66" s="146"/>
      <c r="AH66" s="146">
        <v>3964</v>
      </c>
      <c r="AI66" s="146"/>
      <c r="AJ66" s="146"/>
      <c r="AK66" s="146"/>
      <c r="AL66" s="146"/>
    </row>
    <row r="67" spans="1:38" s="133" customFormat="1">
      <c r="A67" s="167" t="s">
        <v>1597</v>
      </c>
      <c r="B67" s="233">
        <f>C67+'表七(2)'!B67</f>
        <v>104392</v>
      </c>
      <c r="C67" s="146">
        <v>103572</v>
      </c>
      <c r="D67" s="146">
        <v>1329</v>
      </c>
      <c r="E67" s="146">
        <v>22230</v>
      </c>
      <c r="F67" s="146">
        <v>13618</v>
      </c>
      <c r="G67" s="146"/>
      <c r="H67" s="146"/>
      <c r="I67" s="146"/>
      <c r="J67" s="146"/>
      <c r="K67" s="146">
        <v>7920</v>
      </c>
      <c r="L67" s="146">
        <v>18224</v>
      </c>
      <c r="M67" s="146"/>
      <c r="N67" s="146"/>
      <c r="O67" s="146">
        <v>676</v>
      </c>
      <c r="P67" s="146">
        <v>709</v>
      </c>
      <c r="Q67" s="146">
        <v>178</v>
      </c>
      <c r="R67" s="146"/>
      <c r="S67" s="146"/>
      <c r="T67" s="146">
        <v>1338</v>
      </c>
      <c r="U67" s="146">
        <v>4276</v>
      </c>
      <c r="V67" s="146"/>
      <c r="W67" s="146">
        <v>1032</v>
      </c>
      <c r="X67" s="146">
        <v>7534</v>
      </c>
      <c r="Y67" s="146">
        <v>7351</v>
      </c>
      <c r="Z67" s="146">
        <v>253</v>
      </c>
      <c r="AA67" s="146"/>
      <c r="AB67" s="146">
        <v>13267</v>
      </c>
      <c r="AC67" s="146">
        <v>99</v>
      </c>
      <c r="AD67" s="146"/>
      <c r="AE67" s="146"/>
      <c r="AF67" s="146"/>
      <c r="AG67" s="146"/>
      <c r="AH67" s="146">
        <v>3538</v>
      </c>
      <c r="AI67" s="146"/>
      <c r="AJ67" s="146"/>
      <c r="AK67" s="146"/>
      <c r="AL67" s="146"/>
    </row>
    <row r="68" spans="1:38" s="133" customFormat="1">
      <c r="A68" s="167" t="s">
        <v>1598</v>
      </c>
      <c r="B68" s="233">
        <f>C68+'表七(2)'!B68</f>
        <v>95010</v>
      </c>
      <c r="C68" s="146">
        <v>94837</v>
      </c>
      <c r="D68" s="146">
        <v>2123</v>
      </c>
      <c r="E68" s="146">
        <v>15430</v>
      </c>
      <c r="F68" s="146">
        <v>10792</v>
      </c>
      <c r="G68" s="146">
        <v>0</v>
      </c>
      <c r="H68" s="146">
        <v>0</v>
      </c>
      <c r="I68" s="146">
        <v>0</v>
      </c>
      <c r="J68" s="146">
        <v>1195</v>
      </c>
      <c r="K68" s="146">
        <v>4402</v>
      </c>
      <c r="L68" s="146">
        <v>14201</v>
      </c>
      <c r="M68" s="146">
        <v>0</v>
      </c>
      <c r="N68" s="146">
        <v>0</v>
      </c>
      <c r="O68" s="146">
        <v>11780</v>
      </c>
      <c r="P68" s="146">
        <v>1555</v>
      </c>
      <c r="Q68" s="146">
        <v>289</v>
      </c>
      <c r="R68" s="146">
        <v>0</v>
      </c>
      <c r="S68" s="146">
        <v>0</v>
      </c>
      <c r="T68" s="146">
        <v>830</v>
      </c>
      <c r="U68" s="146">
        <v>4003</v>
      </c>
      <c r="V68" s="146">
        <v>35</v>
      </c>
      <c r="W68" s="146">
        <v>604</v>
      </c>
      <c r="X68" s="146">
        <v>4694</v>
      </c>
      <c r="Y68" s="146">
        <v>4082</v>
      </c>
      <c r="Z68" s="146">
        <v>1653</v>
      </c>
      <c r="AA68" s="146">
        <v>0</v>
      </c>
      <c r="AB68" s="146">
        <v>16380</v>
      </c>
      <c r="AC68" s="146">
        <v>99</v>
      </c>
      <c r="AD68" s="146">
        <v>0</v>
      </c>
      <c r="AE68" s="146">
        <v>0</v>
      </c>
      <c r="AF68" s="146">
        <v>0</v>
      </c>
      <c r="AG68" s="146">
        <v>0</v>
      </c>
      <c r="AH68" s="146">
        <v>690</v>
      </c>
      <c r="AI68" s="146">
        <v>0</v>
      </c>
      <c r="AJ68" s="146">
        <v>0</v>
      </c>
      <c r="AK68" s="146">
        <v>0</v>
      </c>
      <c r="AL68" s="146">
        <v>0</v>
      </c>
    </row>
    <row r="69" spans="1:38" s="133" customFormat="1">
      <c r="A69" s="167" t="s">
        <v>1599</v>
      </c>
      <c r="B69" s="233">
        <f>C69+'表七(2)'!B69</f>
        <v>15830</v>
      </c>
      <c r="C69" s="146">
        <v>13011</v>
      </c>
      <c r="D69" s="146">
        <v>205</v>
      </c>
      <c r="E69" s="146">
        <v>123</v>
      </c>
      <c r="F69" s="146">
        <v>1758</v>
      </c>
      <c r="G69" s="146"/>
      <c r="H69" s="146"/>
      <c r="I69" s="146"/>
      <c r="J69" s="146"/>
      <c r="K69" s="146">
        <v>452</v>
      </c>
      <c r="L69" s="146">
        <v>464</v>
      </c>
      <c r="M69" s="146"/>
      <c r="N69" s="146"/>
      <c r="O69" s="146">
        <v>6747</v>
      </c>
      <c r="P69" s="146"/>
      <c r="Q69" s="146">
        <v>142</v>
      </c>
      <c r="R69" s="146"/>
      <c r="S69" s="146"/>
      <c r="T69" s="146">
        <v>439</v>
      </c>
      <c r="U69" s="146">
        <v>441</v>
      </c>
      <c r="V69" s="146"/>
      <c r="W69" s="146">
        <v>540</v>
      </c>
      <c r="X69" s="146">
        <v>570</v>
      </c>
      <c r="Y69" s="146">
        <v>423</v>
      </c>
      <c r="Z69" s="146">
        <v>60</v>
      </c>
      <c r="AA69" s="146"/>
      <c r="AB69" s="146">
        <v>137</v>
      </c>
      <c r="AC69" s="146">
        <v>66</v>
      </c>
      <c r="AD69" s="146">
        <v>116</v>
      </c>
      <c r="AE69" s="146"/>
      <c r="AF69" s="146"/>
      <c r="AG69" s="146"/>
      <c r="AH69" s="146">
        <v>328</v>
      </c>
      <c r="AI69" s="146"/>
      <c r="AJ69" s="146"/>
      <c r="AK69" s="146"/>
      <c r="AL69" s="146"/>
    </row>
    <row r="70" spans="1:38" s="142" customFormat="1">
      <c r="A70" s="161" t="s">
        <v>1650</v>
      </c>
      <c r="B70" s="233">
        <f>C70+'表七(2)'!B70</f>
        <v>942816</v>
      </c>
      <c r="C70" s="136">
        <f>C71+C72</f>
        <v>931628</v>
      </c>
      <c r="D70" s="136">
        <f t="shared" ref="D70:AL70" si="10">D71+D72</f>
        <v>21374</v>
      </c>
      <c r="E70" s="136">
        <f t="shared" si="10"/>
        <v>102421</v>
      </c>
      <c r="F70" s="136">
        <f t="shared" si="10"/>
        <v>65336</v>
      </c>
      <c r="G70" s="136">
        <f t="shared" si="10"/>
        <v>0</v>
      </c>
      <c r="H70" s="136">
        <f t="shared" si="10"/>
        <v>0</v>
      </c>
      <c r="I70" s="136">
        <f t="shared" si="10"/>
        <v>1139</v>
      </c>
      <c r="J70" s="136">
        <f t="shared" si="10"/>
        <v>6338</v>
      </c>
      <c r="K70" s="136">
        <f t="shared" si="10"/>
        <v>6477</v>
      </c>
      <c r="L70" s="136">
        <f t="shared" si="10"/>
        <v>146076</v>
      </c>
      <c r="M70" s="136">
        <f t="shared" si="10"/>
        <v>0</v>
      </c>
      <c r="N70" s="136">
        <f t="shared" si="10"/>
        <v>0</v>
      </c>
      <c r="O70" s="136">
        <f t="shared" si="10"/>
        <v>14522</v>
      </c>
      <c r="P70" s="136">
        <f t="shared" si="10"/>
        <v>4135</v>
      </c>
      <c r="Q70" s="136">
        <f t="shared" si="10"/>
        <v>2130</v>
      </c>
      <c r="R70" s="136">
        <f t="shared" si="10"/>
        <v>0</v>
      </c>
      <c r="S70" s="136">
        <f t="shared" si="10"/>
        <v>513</v>
      </c>
      <c r="T70" s="136">
        <f t="shared" si="10"/>
        <v>15504</v>
      </c>
      <c r="U70" s="136">
        <f t="shared" si="10"/>
        <v>48369</v>
      </c>
      <c r="V70" s="136">
        <f t="shared" si="10"/>
        <v>70</v>
      </c>
      <c r="W70" s="136">
        <f t="shared" si="10"/>
        <v>6350</v>
      </c>
      <c r="X70" s="136">
        <f t="shared" si="10"/>
        <v>99868</v>
      </c>
      <c r="Y70" s="136">
        <f t="shared" si="10"/>
        <v>61602</v>
      </c>
      <c r="Z70" s="136">
        <f t="shared" si="10"/>
        <v>13466</v>
      </c>
      <c r="AA70" s="136">
        <f t="shared" si="10"/>
        <v>0</v>
      </c>
      <c r="AB70" s="136">
        <f t="shared" si="10"/>
        <v>140961</v>
      </c>
      <c r="AC70" s="136">
        <f t="shared" si="10"/>
        <v>51147</v>
      </c>
      <c r="AD70" s="136">
        <f t="shared" si="10"/>
        <v>473</v>
      </c>
      <c r="AE70" s="136">
        <f t="shared" si="10"/>
        <v>0</v>
      </c>
      <c r="AF70" s="136">
        <f t="shared" si="10"/>
        <v>0</v>
      </c>
      <c r="AG70" s="136">
        <f t="shared" si="10"/>
        <v>0</v>
      </c>
      <c r="AH70" s="136">
        <f t="shared" si="10"/>
        <v>10085</v>
      </c>
      <c r="AI70" s="136">
        <f t="shared" si="10"/>
        <v>0</v>
      </c>
      <c r="AJ70" s="136">
        <f t="shared" si="10"/>
        <v>0</v>
      </c>
      <c r="AK70" s="136">
        <f t="shared" si="10"/>
        <v>0</v>
      </c>
      <c r="AL70" s="136">
        <f t="shared" si="10"/>
        <v>113272</v>
      </c>
    </row>
    <row r="71" spans="1:38" s="142" customFormat="1">
      <c r="A71" s="167" t="s">
        <v>1651</v>
      </c>
      <c r="B71" s="233">
        <f>C71+'表七(2)'!B71</f>
        <v>274371</v>
      </c>
      <c r="C71" s="136">
        <f>SUM(D71:AL71)</f>
        <v>272271</v>
      </c>
      <c r="D71" s="136">
        <v>5346</v>
      </c>
      <c r="E71" s="136">
        <v>15148</v>
      </c>
      <c r="F71" s="136"/>
      <c r="G71" s="136"/>
      <c r="H71" s="136"/>
      <c r="I71" s="136">
        <v>1108</v>
      </c>
      <c r="J71" s="136"/>
      <c r="K71" s="136"/>
      <c r="L71" s="136">
        <v>22735</v>
      </c>
      <c r="M71" s="136"/>
      <c r="N71" s="136"/>
      <c r="O71" s="136">
        <v>2954</v>
      </c>
      <c r="P71" s="136"/>
      <c r="Q71" s="136">
        <v>229</v>
      </c>
      <c r="R71" s="136"/>
      <c r="S71" s="136">
        <v>513</v>
      </c>
      <c r="T71" s="136">
        <v>4030</v>
      </c>
      <c r="U71" s="136">
        <v>5359</v>
      </c>
      <c r="V71" s="136"/>
      <c r="W71" s="136">
        <v>1453</v>
      </c>
      <c r="X71" s="136">
        <v>47747</v>
      </c>
      <c r="Y71" s="136">
        <v>2648</v>
      </c>
      <c r="Z71" s="136">
        <v>20</v>
      </c>
      <c r="AA71" s="136"/>
      <c r="AB71" s="136">
        <v>2060</v>
      </c>
      <c r="AC71" s="136">
        <v>47176</v>
      </c>
      <c r="AD71" s="136">
        <v>473</v>
      </c>
      <c r="AE71" s="136"/>
      <c r="AF71" s="136"/>
      <c r="AG71" s="136"/>
      <c r="AH71" s="136"/>
      <c r="AI71" s="136"/>
      <c r="AJ71" s="136"/>
      <c r="AK71" s="136"/>
      <c r="AL71" s="136">
        <v>113272</v>
      </c>
    </row>
    <row r="72" spans="1:38" s="142" customFormat="1">
      <c r="A72" s="167" t="s">
        <v>1194</v>
      </c>
      <c r="B72" s="233">
        <f>C72+'表七(2)'!B72</f>
        <v>668445</v>
      </c>
      <c r="C72" s="136">
        <f>SUM(C73:C81)</f>
        <v>659357</v>
      </c>
      <c r="D72" s="136">
        <f t="shared" ref="D72:AK72" si="11">SUM(D73:D81)</f>
        <v>16028</v>
      </c>
      <c r="E72" s="136">
        <f t="shared" si="11"/>
        <v>87273</v>
      </c>
      <c r="F72" s="136">
        <f t="shared" si="11"/>
        <v>65336</v>
      </c>
      <c r="G72" s="136">
        <f t="shared" si="11"/>
        <v>0</v>
      </c>
      <c r="H72" s="136">
        <f t="shared" si="11"/>
        <v>0</v>
      </c>
      <c r="I72" s="136">
        <f t="shared" si="11"/>
        <v>31</v>
      </c>
      <c r="J72" s="136">
        <f t="shared" si="11"/>
        <v>6338</v>
      </c>
      <c r="K72" s="136">
        <f t="shared" si="11"/>
        <v>6477</v>
      </c>
      <c r="L72" s="136">
        <f t="shared" si="11"/>
        <v>123341</v>
      </c>
      <c r="M72" s="136">
        <f t="shared" si="11"/>
        <v>0</v>
      </c>
      <c r="N72" s="136">
        <f t="shared" si="11"/>
        <v>0</v>
      </c>
      <c r="O72" s="136">
        <f t="shared" si="11"/>
        <v>11568</v>
      </c>
      <c r="P72" s="136">
        <f t="shared" si="11"/>
        <v>4135</v>
      </c>
      <c r="Q72" s="136">
        <f t="shared" si="11"/>
        <v>1901</v>
      </c>
      <c r="R72" s="136">
        <f t="shared" si="11"/>
        <v>0</v>
      </c>
      <c r="S72" s="136">
        <f t="shared" si="11"/>
        <v>0</v>
      </c>
      <c r="T72" s="136">
        <f t="shared" si="11"/>
        <v>11474</v>
      </c>
      <c r="U72" s="136">
        <f t="shared" si="11"/>
        <v>43010</v>
      </c>
      <c r="V72" s="136">
        <f t="shared" si="11"/>
        <v>70</v>
      </c>
      <c r="W72" s="136">
        <f t="shared" si="11"/>
        <v>4897</v>
      </c>
      <c r="X72" s="136">
        <f t="shared" si="11"/>
        <v>52121</v>
      </c>
      <c r="Y72" s="136">
        <f t="shared" si="11"/>
        <v>58954</v>
      </c>
      <c r="Z72" s="136">
        <f t="shared" si="11"/>
        <v>13446</v>
      </c>
      <c r="AA72" s="136">
        <f t="shared" si="11"/>
        <v>0</v>
      </c>
      <c r="AB72" s="136">
        <f t="shared" si="11"/>
        <v>138901</v>
      </c>
      <c r="AC72" s="136">
        <f t="shared" si="11"/>
        <v>3971</v>
      </c>
      <c r="AD72" s="136">
        <f t="shared" si="11"/>
        <v>0</v>
      </c>
      <c r="AE72" s="136">
        <f t="shared" si="11"/>
        <v>0</v>
      </c>
      <c r="AF72" s="136">
        <f t="shared" si="11"/>
        <v>0</v>
      </c>
      <c r="AG72" s="136">
        <f t="shared" si="11"/>
        <v>0</v>
      </c>
      <c r="AH72" s="136">
        <f t="shared" si="11"/>
        <v>10085</v>
      </c>
      <c r="AI72" s="136">
        <f t="shared" si="11"/>
        <v>0</v>
      </c>
      <c r="AJ72" s="136">
        <f t="shared" si="11"/>
        <v>0</v>
      </c>
      <c r="AK72" s="136">
        <f t="shared" si="11"/>
        <v>0</v>
      </c>
      <c r="AL72" s="136"/>
    </row>
    <row r="73" spans="1:38" s="142" customFormat="1">
      <c r="A73" s="167" t="s">
        <v>1652</v>
      </c>
      <c r="B73" s="233">
        <f>C73+'表七(2)'!B73</f>
        <v>80897</v>
      </c>
      <c r="C73" s="136">
        <f>SUM(D73:AL73)</f>
        <v>80311</v>
      </c>
      <c r="D73" s="136">
        <v>3206</v>
      </c>
      <c r="E73" s="136">
        <v>10956</v>
      </c>
      <c r="F73" s="136">
        <v>9904</v>
      </c>
      <c r="G73" s="136"/>
      <c r="H73" s="136"/>
      <c r="I73" s="136">
        <v>0</v>
      </c>
      <c r="J73" s="136"/>
      <c r="K73" s="136">
        <v>3402</v>
      </c>
      <c r="L73" s="136">
        <v>18273</v>
      </c>
      <c r="M73" s="136"/>
      <c r="N73" s="136"/>
      <c r="O73" s="136">
        <v>0</v>
      </c>
      <c r="P73" s="136">
        <v>0</v>
      </c>
      <c r="Q73" s="136">
        <v>233</v>
      </c>
      <c r="R73" s="136"/>
      <c r="S73" s="136"/>
      <c r="T73" s="136">
        <v>1304</v>
      </c>
      <c r="U73" s="136">
        <v>4223</v>
      </c>
      <c r="V73" s="136">
        <v>35</v>
      </c>
      <c r="W73" s="136">
        <v>941</v>
      </c>
      <c r="X73" s="136">
        <v>6515</v>
      </c>
      <c r="Y73" s="136">
        <v>6651</v>
      </c>
      <c r="Z73" s="136">
        <v>2485</v>
      </c>
      <c r="AA73" s="136"/>
      <c r="AB73" s="136">
        <v>9029</v>
      </c>
      <c r="AC73" s="136">
        <v>553</v>
      </c>
      <c r="AD73" s="136"/>
      <c r="AE73" s="136"/>
      <c r="AF73" s="136"/>
      <c r="AG73" s="136"/>
      <c r="AH73" s="136">
        <v>2601</v>
      </c>
      <c r="AI73" s="136"/>
      <c r="AJ73" s="136"/>
      <c r="AK73" s="136"/>
      <c r="AL73" s="136"/>
    </row>
    <row r="74" spans="1:38" s="142" customFormat="1">
      <c r="A74" s="167" t="s">
        <v>1653</v>
      </c>
      <c r="B74" s="233">
        <f>C74+'表七(2)'!B74</f>
        <v>85249</v>
      </c>
      <c r="C74" s="136">
        <f t="shared" ref="C74:C81" si="12">SUM(D74:AL74)</f>
        <v>84904</v>
      </c>
      <c r="D74" s="136">
        <v>2348</v>
      </c>
      <c r="E74" s="136">
        <v>10793</v>
      </c>
      <c r="F74" s="136">
        <v>12600</v>
      </c>
      <c r="G74" s="136"/>
      <c r="H74" s="136"/>
      <c r="I74" s="136">
        <v>0</v>
      </c>
      <c r="J74" s="136">
        <v>664</v>
      </c>
      <c r="K74" s="136">
        <v>0</v>
      </c>
      <c r="L74" s="136">
        <v>17202</v>
      </c>
      <c r="M74" s="136"/>
      <c r="N74" s="136"/>
      <c r="O74" s="136">
        <v>0</v>
      </c>
      <c r="P74" s="136">
        <v>0</v>
      </c>
      <c r="Q74" s="136">
        <v>263</v>
      </c>
      <c r="R74" s="136"/>
      <c r="S74" s="136"/>
      <c r="T74" s="136">
        <v>1200</v>
      </c>
      <c r="U74" s="136">
        <v>6326</v>
      </c>
      <c r="V74" s="136">
        <v>35</v>
      </c>
      <c r="W74" s="136">
        <v>502</v>
      </c>
      <c r="X74" s="136">
        <v>6719</v>
      </c>
      <c r="Y74" s="136">
        <v>7097</v>
      </c>
      <c r="Z74" s="136">
        <v>520</v>
      </c>
      <c r="AA74" s="136"/>
      <c r="AB74" s="136">
        <v>15002</v>
      </c>
      <c r="AC74" s="136">
        <v>568</v>
      </c>
      <c r="AD74" s="136"/>
      <c r="AE74" s="136"/>
      <c r="AF74" s="136"/>
      <c r="AG74" s="136"/>
      <c r="AH74" s="136">
        <v>3065</v>
      </c>
      <c r="AI74" s="136"/>
      <c r="AJ74" s="136"/>
      <c r="AK74" s="136"/>
      <c r="AL74" s="136"/>
    </row>
    <row r="75" spans="1:38" s="142" customFormat="1">
      <c r="A75" s="167" t="s">
        <v>1654</v>
      </c>
      <c r="B75" s="233">
        <f>C75+'表七(2)'!B75</f>
        <v>99643</v>
      </c>
      <c r="C75" s="136">
        <f t="shared" si="12"/>
        <v>96563</v>
      </c>
      <c r="D75" s="136">
        <v>2090</v>
      </c>
      <c r="E75" s="136">
        <v>11117</v>
      </c>
      <c r="F75" s="136">
        <v>4523</v>
      </c>
      <c r="G75" s="136"/>
      <c r="H75" s="136"/>
      <c r="I75" s="136">
        <v>31</v>
      </c>
      <c r="J75" s="136">
        <v>268</v>
      </c>
      <c r="K75" s="136">
        <v>0</v>
      </c>
      <c r="L75" s="136">
        <v>20656</v>
      </c>
      <c r="M75" s="136"/>
      <c r="N75" s="136"/>
      <c r="O75" s="136">
        <v>0</v>
      </c>
      <c r="P75" s="136">
        <v>0</v>
      </c>
      <c r="Q75" s="136">
        <v>356</v>
      </c>
      <c r="R75" s="136"/>
      <c r="S75" s="136"/>
      <c r="T75" s="136">
        <v>3415</v>
      </c>
      <c r="U75" s="136">
        <v>10768</v>
      </c>
      <c r="V75" s="136"/>
      <c r="W75" s="136">
        <v>749</v>
      </c>
      <c r="X75" s="136">
        <v>10700</v>
      </c>
      <c r="Y75" s="136">
        <v>16281</v>
      </c>
      <c r="Z75" s="136">
        <v>2272</v>
      </c>
      <c r="AA75" s="136"/>
      <c r="AB75" s="136">
        <v>12297</v>
      </c>
      <c r="AC75" s="136">
        <v>611</v>
      </c>
      <c r="AD75" s="136"/>
      <c r="AE75" s="136"/>
      <c r="AF75" s="136"/>
      <c r="AG75" s="136"/>
      <c r="AH75" s="136">
        <v>429</v>
      </c>
      <c r="AI75" s="136"/>
      <c r="AJ75" s="136"/>
      <c r="AK75" s="136"/>
      <c r="AL75" s="136"/>
    </row>
    <row r="76" spans="1:38" s="142" customFormat="1">
      <c r="A76" s="168" t="s">
        <v>1655</v>
      </c>
      <c r="B76" s="233">
        <f>C76+'表七(2)'!B76</f>
        <v>71795</v>
      </c>
      <c r="C76" s="136">
        <f t="shared" si="12"/>
        <v>69634</v>
      </c>
      <c r="D76" s="136">
        <v>1262</v>
      </c>
      <c r="E76" s="136">
        <v>8690</v>
      </c>
      <c r="F76" s="136">
        <v>4243</v>
      </c>
      <c r="G76" s="136"/>
      <c r="H76" s="136"/>
      <c r="I76" s="136">
        <v>0</v>
      </c>
      <c r="J76" s="136">
        <v>300</v>
      </c>
      <c r="K76" s="136">
        <v>0</v>
      </c>
      <c r="L76" s="136">
        <v>12561</v>
      </c>
      <c r="M76" s="136"/>
      <c r="N76" s="136"/>
      <c r="O76" s="136">
        <v>0</v>
      </c>
      <c r="P76" s="136">
        <v>544</v>
      </c>
      <c r="Q76" s="136">
        <v>256</v>
      </c>
      <c r="R76" s="136"/>
      <c r="S76" s="136"/>
      <c r="T76" s="136">
        <v>1617</v>
      </c>
      <c r="U76" s="136">
        <v>6393</v>
      </c>
      <c r="V76" s="136"/>
      <c r="W76" s="136">
        <v>534</v>
      </c>
      <c r="X76" s="136">
        <v>5840</v>
      </c>
      <c r="Y76" s="136">
        <v>6588</v>
      </c>
      <c r="Z76" s="136">
        <v>3344</v>
      </c>
      <c r="AA76" s="136"/>
      <c r="AB76" s="136">
        <v>15558</v>
      </c>
      <c r="AC76" s="136">
        <v>465</v>
      </c>
      <c r="AD76" s="136"/>
      <c r="AE76" s="136"/>
      <c r="AF76" s="136"/>
      <c r="AG76" s="136"/>
      <c r="AH76" s="136">
        <v>1439</v>
      </c>
      <c r="AI76" s="136"/>
      <c r="AJ76" s="136"/>
      <c r="AK76" s="136"/>
      <c r="AL76" s="136"/>
    </row>
    <row r="77" spans="1:38" s="142" customFormat="1">
      <c r="A77" s="168" t="s">
        <v>1656</v>
      </c>
      <c r="B77" s="233">
        <f>C77+'表七(2)'!B77</f>
        <v>78182</v>
      </c>
      <c r="C77" s="136">
        <f t="shared" si="12"/>
        <v>77828</v>
      </c>
      <c r="D77" s="136">
        <v>1065</v>
      </c>
      <c r="E77" s="136">
        <v>11621</v>
      </c>
      <c r="F77" s="136">
        <v>10009</v>
      </c>
      <c r="G77" s="136"/>
      <c r="H77" s="136"/>
      <c r="I77" s="136">
        <v>0</v>
      </c>
      <c r="J77" s="136">
        <v>935</v>
      </c>
      <c r="K77" s="136">
        <v>0</v>
      </c>
      <c r="L77" s="136">
        <v>15367</v>
      </c>
      <c r="M77" s="136"/>
      <c r="N77" s="136"/>
      <c r="O77" s="136">
        <v>0</v>
      </c>
      <c r="P77" s="136">
        <v>780</v>
      </c>
      <c r="Q77" s="136">
        <v>243</v>
      </c>
      <c r="R77" s="136"/>
      <c r="S77" s="136"/>
      <c r="T77" s="136">
        <v>1082</v>
      </c>
      <c r="U77" s="136">
        <v>4327</v>
      </c>
      <c r="V77" s="136"/>
      <c r="W77" s="136">
        <v>455</v>
      </c>
      <c r="X77" s="136">
        <v>6646</v>
      </c>
      <c r="Y77" s="136">
        <v>6547</v>
      </c>
      <c r="Z77" s="136">
        <v>1370</v>
      </c>
      <c r="AA77" s="136"/>
      <c r="AB77" s="136">
        <v>16143</v>
      </c>
      <c r="AC77" s="136">
        <v>728</v>
      </c>
      <c r="AD77" s="136"/>
      <c r="AE77" s="136"/>
      <c r="AF77" s="136"/>
      <c r="AG77" s="136"/>
      <c r="AH77" s="136">
        <v>510</v>
      </c>
      <c r="AI77" s="136"/>
      <c r="AJ77" s="136"/>
      <c r="AK77" s="136"/>
      <c r="AL77" s="136"/>
    </row>
    <row r="78" spans="1:38" s="142" customFormat="1">
      <c r="A78" s="168" t="s">
        <v>1657</v>
      </c>
      <c r="B78" s="233">
        <f>C78+'表七(2)'!B78</f>
        <v>148105</v>
      </c>
      <c r="C78" s="136">
        <f t="shared" si="12"/>
        <v>147375</v>
      </c>
      <c r="D78" s="136">
        <v>2912</v>
      </c>
      <c r="E78" s="136">
        <v>19040</v>
      </c>
      <c r="F78" s="136">
        <v>12043</v>
      </c>
      <c r="G78" s="136"/>
      <c r="H78" s="136"/>
      <c r="I78" s="136">
        <v>0</v>
      </c>
      <c r="J78" s="136">
        <v>3049</v>
      </c>
      <c r="K78" s="136">
        <v>0</v>
      </c>
      <c r="L78" s="136">
        <v>22544</v>
      </c>
      <c r="M78" s="136"/>
      <c r="N78" s="136"/>
      <c r="O78" s="136">
        <v>5933</v>
      </c>
      <c r="P78" s="136">
        <v>918</v>
      </c>
      <c r="Q78" s="136">
        <v>316</v>
      </c>
      <c r="R78" s="136"/>
      <c r="S78" s="136"/>
      <c r="T78" s="136">
        <v>1673</v>
      </c>
      <c r="U78" s="136">
        <v>7383</v>
      </c>
      <c r="V78" s="136"/>
      <c r="W78" s="136">
        <v>854</v>
      </c>
      <c r="X78" s="136">
        <v>9852</v>
      </c>
      <c r="Y78" s="136">
        <v>10941</v>
      </c>
      <c r="Z78" s="136">
        <v>2483</v>
      </c>
      <c r="AA78" s="136"/>
      <c r="AB78" s="136">
        <v>45637</v>
      </c>
      <c r="AC78" s="136">
        <v>862</v>
      </c>
      <c r="AD78" s="136"/>
      <c r="AE78" s="136"/>
      <c r="AF78" s="136"/>
      <c r="AG78" s="136"/>
      <c r="AH78" s="136">
        <v>935</v>
      </c>
      <c r="AI78" s="136"/>
      <c r="AJ78" s="136"/>
      <c r="AK78" s="136"/>
      <c r="AL78" s="136"/>
    </row>
    <row r="79" spans="1:38" s="142" customFormat="1">
      <c r="A79" s="168" t="s">
        <v>1658</v>
      </c>
      <c r="B79" s="233">
        <f>C79+'表七(2)'!B79</f>
        <v>97201</v>
      </c>
      <c r="C79" s="136">
        <f t="shared" si="12"/>
        <v>96761</v>
      </c>
      <c r="D79" s="136">
        <v>2892</v>
      </c>
      <c r="E79" s="136">
        <v>15038</v>
      </c>
      <c r="F79" s="136">
        <v>12014</v>
      </c>
      <c r="G79" s="136"/>
      <c r="H79" s="136"/>
      <c r="I79" s="136">
        <v>0</v>
      </c>
      <c r="J79" s="136">
        <v>1122</v>
      </c>
      <c r="K79" s="136">
        <v>3075</v>
      </c>
      <c r="L79" s="136">
        <v>16672</v>
      </c>
      <c r="M79" s="136"/>
      <c r="N79" s="136"/>
      <c r="O79" s="136">
        <v>5635</v>
      </c>
      <c r="P79" s="136">
        <v>1893</v>
      </c>
      <c r="Q79" s="136">
        <v>215</v>
      </c>
      <c r="R79" s="136"/>
      <c r="S79" s="136"/>
      <c r="T79" s="136">
        <v>1183</v>
      </c>
      <c r="U79" s="136">
        <v>3590</v>
      </c>
      <c r="V79" s="136"/>
      <c r="W79" s="136">
        <v>522</v>
      </c>
      <c r="X79" s="136">
        <v>5237</v>
      </c>
      <c r="Y79" s="136">
        <v>4845</v>
      </c>
      <c r="Z79" s="136">
        <v>572</v>
      </c>
      <c r="AA79" s="136"/>
      <c r="AB79" s="136">
        <v>21278</v>
      </c>
      <c r="AC79" s="136">
        <v>184</v>
      </c>
      <c r="AD79" s="136"/>
      <c r="AE79" s="136"/>
      <c r="AF79" s="136"/>
      <c r="AG79" s="136"/>
      <c r="AH79" s="136">
        <v>794</v>
      </c>
      <c r="AI79" s="136"/>
      <c r="AJ79" s="136"/>
      <c r="AK79" s="136"/>
      <c r="AL79" s="136"/>
    </row>
    <row r="80" spans="1:38" s="142" customFormat="1">
      <c r="A80" s="168" t="s">
        <v>1659</v>
      </c>
      <c r="B80" s="233">
        <f>C80+'表七(2)'!B80</f>
        <v>5379</v>
      </c>
      <c r="C80" s="136">
        <f t="shared" si="12"/>
        <v>5379</v>
      </c>
      <c r="D80" s="136">
        <v>234</v>
      </c>
      <c r="E80" s="136">
        <v>18</v>
      </c>
      <c r="F80" s="136">
        <v>0</v>
      </c>
      <c r="G80" s="136"/>
      <c r="H80" s="136"/>
      <c r="I80" s="136">
        <v>0</v>
      </c>
      <c r="J80" s="136"/>
      <c r="K80" s="136">
        <v>0</v>
      </c>
      <c r="L80" s="136">
        <v>40</v>
      </c>
      <c r="M80" s="136"/>
      <c r="N80" s="136"/>
      <c r="O80" s="136">
        <v>0</v>
      </c>
      <c r="P80" s="136">
        <v>0</v>
      </c>
      <c r="Q80" s="136"/>
      <c r="R80" s="136"/>
      <c r="S80" s="136"/>
      <c r="T80" s="136">
        <v>0</v>
      </c>
      <c r="U80" s="136">
        <v>0</v>
      </c>
      <c r="V80" s="136"/>
      <c r="W80" s="136">
        <v>320</v>
      </c>
      <c r="X80" s="136">
        <v>98</v>
      </c>
      <c r="Y80" s="136"/>
      <c r="Z80" s="136">
        <v>400</v>
      </c>
      <c r="AA80" s="136"/>
      <c r="AB80" s="136">
        <v>3957</v>
      </c>
      <c r="AC80" s="136"/>
      <c r="AD80" s="136"/>
      <c r="AE80" s="136"/>
      <c r="AF80" s="136"/>
      <c r="AG80" s="136"/>
      <c r="AH80" s="136">
        <v>312</v>
      </c>
      <c r="AI80" s="136"/>
      <c r="AJ80" s="136"/>
      <c r="AK80" s="136"/>
      <c r="AL80" s="136"/>
    </row>
    <row r="81" spans="1:38" s="142" customFormat="1">
      <c r="A81" s="168" t="s">
        <v>1660</v>
      </c>
      <c r="B81" s="233">
        <f>C81+'表七(2)'!B81</f>
        <v>1994</v>
      </c>
      <c r="C81" s="136">
        <f t="shared" si="12"/>
        <v>602</v>
      </c>
      <c r="D81" s="136">
        <v>19</v>
      </c>
      <c r="E81" s="136">
        <v>0</v>
      </c>
      <c r="F81" s="136">
        <v>0</v>
      </c>
      <c r="G81" s="136"/>
      <c r="H81" s="136"/>
      <c r="I81" s="136">
        <v>0</v>
      </c>
      <c r="J81" s="136"/>
      <c r="K81" s="136">
        <v>0</v>
      </c>
      <c r="L81" s="136">
        <v>26</v>
      </c>
      <c r="M81" s="136"/>
      <c r="N81" s="136"/>
      <c r="O81" s="136">
        <v>0</v>
      </c>
      <c r="P81" s="136">
        <v>0</v>
      </c>
      <c r="Q81" s="136">
        <v>19</v>
      </c>
      <c r="R81" s="136"/>
      <c r="S81" s="136"/>
      <c r="T81" s="136">
        <v>0</v>
      </c>
      <c r="U81" s="136">
        <v>0</v>
      </c>
      <c r="V81" s="136"/>
      <c r="W81" s="136">
        <v>20</v>
      </c>
      <c r="X81" s="136">
        <v>514</v>
      </c>
      <c r="Y81" s="136">
        <v>4</v>
      </c>
      <c r="Z81" s="136"/>
      <c r="AA81" s="136"/>
      <c r="AB81" s="136">
        <v>0</v>
      </c>
      <c r="AC81" s="136"/>
      <c r="AD81" s="136"/>
      <c r="AE81" s="136"/>
      <c r="AF81" s="136"/>
      <c r="AG81" s="136"/>
      <c r="AH81" s="136"/>
      <c r="AI81" s="136"/>
      <c r="AJ81" s="136"/>
      <c r="AK81" s="136"/>
      <c r="AL81" s="136"/>
    </row>
    <row r="82" spans="1:38" s="132" customFormat="1" ht="12">
      <c r="A82" s="164" t="s">
        <v>1672</v>
      </c>
      <c r="B82" s="233">
        <f>C82+'表七(2)'!B82</f>
        <v>1068934</v>
      </c>
      <c r="C82" s="195">
        <f t="shared" ref="C82:AL82" si="13">SUM(C83:C85)</f>
        <v>1061446</v>
      </c>
      <c r="D82" s="195">
        <f t="shared" si="13"/>
        <v>23899</v>
      </c>
      <c r="E82" s="195">
        <f t="shared" si="13"/>
        <v>131768</v>
      </c>
      <c r="F82" s="195">
        <f t="shared" si="13"/>
        <v>90653</v>
      </c>
      <c r="G82" s="195">
        <f t="shared" si="13"/>
        <v>13363</v>
      </c>
      <c r="H82" s="195">
        <f t="shared" si="13"/>
        <v>0</v>
      </c>
      <c r="I82" s="195">
        <f t="shared" si="13"/>
        <v>8228</v>
      </c>
      <c r="J82" s="195">
        <f t="shared" si="13"/>
        <v>70</v>
      </c>
      <c r="K82" s="195">
        <f t="shared" si="13"/>
        <v>46014</v>
      </c>
      <c r="L82" s="195">
        <f t="shared" si="13"/>
        <v>175255</v>
      </c>
      <c r="M82" s="195">
        <f t="shared" si="13"/>
        <v>0</v>
      </c>
      <c r="N82" s="195">
        <f t="shared" si="13"/>
        <v>1313</v>
      </c>
      <c r="O82" s="195">
        <f t="shared" si="13"/>
        <v>0</v>
      </c>
      <c r="P82" s="195">
        <f t="shared" si="13"/>
        <v>11783</v>
      </c>
      <c r="Q82" s="195">
        <f t="shared" si="13"/>
        <v>3121</v>
      </c>
      <c r="R82" s="195">
        <f t="shared" si="13"/>
        <v>0</v>
      </c>
      <c r="S82" s="195">
        <f t="shared" si="13"/>
        <v>284</v>
      </c>
      <c r="T82" s="195">
        <f t="shared" si="13"/>
        <v>17748</v>
      </c>
      <c r="U82" s="195">
        <f t="shared" si="13"/>
        <v>63359</v>
      </c>
      <c r="V82" s="195">
        <f t="shared" si="13"/>
        <v>217</v>
      </c>
      <c r="W82" s="195">
        <f t="shared" si="13"/>
        <v>7470</v>
      </c>
      <c r="X82" s="195">
        <f t="shared" si="13"/>
        <v>90748</v>
      </c>
      <c r="Y82" s="195">
        <f t="shared" si="13"/>
        <v>62545</v>
      </c>
      <c r="Z82" s="195">
        <f t="shared" si="13"/>
        <v>6270</v>
      </c>
      <c r="AA82" s="195">
        <f t="shared" si="13"/>
        <v>0</v>
      </c>
      <c r="AB82" s="195">
        <f t="shared" si="13"/>
        <v>176487</v>
      </c>
      <c r="AC82" s="195">
        <f t="shared" si="13"/>
        <v>100926</v>
      </c>
      <c r="AD82" s="195">
        <f t="shared" si="13"/>
        <v>0</v>
      </c>
      <c r="AE82" s="195">
        <f t="shared" si="13"/>
        <v>375</v>
      </c>
      <c r="AF82" s="195">
        <f t="shared" si="13"/>
        <v>0</v>
      </c>
      <c r="AG82" s="195">
        <f t="shared" si="13"/>
        <v>0</v>
      </c>
      <c r="AH82" s="195">
        <f t="shared" si="13"/>
        <v>12319</v>
      </c>
      <c r="AI82" s="195">
        <f t="shared" si="13"/>
        <v>64</v>
      </c>
      <c r="AJ82" s="195">
        <f t="shared" si="13"/>
        <v>0</v>
      </c>
      <c r="AK82" s="195">
        <f t="shared" si="13"/>
        <v>0</v>
      </c>
      <c r="AL82" s="195">
        <f t="shared" si="13"/>
        <v>17167</v>
      </c>
    </row>
    <row r="83" spans="1:38" s="132" customFormat="1" ht="12">
      <c r="A83" s="170" t="s">
        <v>1661</v>
      </c>
      <c r="B83" s="233">
        <f>C83+'表七(2)'!B83</f>
        <v>222657</v>
      </c>
      <c r="C83" s="195">
        <f>SUM(D83:AL83)</f>
        <v>219570</v>
      </c>
      <c r="D83" s="195">
        <v>4781</v>
      </c>
      <c r="E83" s="195">
        <v>17753</v>
      </c>
      <c r="F83" s="195">
        <v>26</v>
      </c>
      <c r="G83" s="195">
        <v>84</v>
      </c>
      <c r="H83" s="195"/>
      <c r="I83" s="195">
        <v>7038</v>
      </c>
      <c r="J83" s="195"/>
      <c r="K83" s="195"/>
      <c r="L83" s="195">
        <v>25731</v>
      </c>
      <c r="M83" s="195"/>
      <c r="N83" s="195"/>
      <c r="O83" s="195"/>
      <c r="P83" s="195"/>
      <c r="Q83" s="195">
        <v>2141</v>
      </c>
      <c r="R83" s="195"/>
      <c r="S83" s="195">
        <v>284</v>
      </c>
      <c r="T83" s="195">
        <v>5669</v>
      </c>
      <c r="U83" s="195">
        <v>16800</v>
      </c>
      <c r="V83" s="195"/>
      <c r="W83" s="195">
        <v>4118</v>
      </c>
      <c r="X83" s="146">
        <v>21675</v>
      </c>
      <c r="Y83" s="146">
        <v>1899</v>
      </c>
      <c r="Z83" s="146">
        <v>200</v>
      </c>
      <c r="AA83" s="146"/>
      <c r="AB83" s="146">
        <v>12171</v>
      </c>
      <c r="AC83" s="146">
        <v>99200</v>
      </c>
      <c r="AD83" s="146"/>
      <c r="AE83" s="146"/>
      <c r="AF83" s="146"/>
      <c r="AG83" s="146"/>
      <c r="AH83" s="146"/>
      <c r="AI83" s="146"/>
      <c r="AJ83" s="146"/>
      <c r="AK83" s="146"/>
      <c r="AL83" s="146"/>
    </row>
    <row r="84" spans="1:38" s="132" customFormat="1" ht="12">
      <c r="A84" s="167" t="s">
        <v>1662</v>
      </c>
      <c r="B84" s="233">
        <f>C84+'表七(2)'!B84</f>
        <v>1919</v>
      </c>
      <c r="C84" s="195">
        <f>SUM(D84:AL84)</f>
        <v>1519</v>
      </c>
      <c r="D84" s="195">
        <v>39</v>
      </c>
      <c r="E84" s="195">
        <v>32</v>
      </c>
      <c r="F84" s="195"/>
      <c r="G84" s="195"/>
      <c r="H84" s="195"/>
      <c r="I84" s="195"/>
      <c r="J84" s="195"/>
      <c r="K84" s="195"/>
      <c r="L84" s="195">
        <v>41</v>
      </c>
      <c r="M84" s="195"/>
      <c r="N84" s="195"/>
      <c r="O84" s="195"/>
      <c r="P84" s="195"/>
      <c r="Q84" s="195"/>
      <c r="R84" s="195"/>
      <c r="S84" s="195"/>
      <c r="T84" s="195">
        <v>50</v>
      </c>
      <c r="U84" s="195">
        <v>270</v>
      </c>
      <c r="V84" s="195"/>
      <c r="W84" s="195"/>
      <c r="X84" s="146">
        <v>177</v>
      </c>
      <c r="Y84" s="146">
        <v>910</v>
      </c>
      <c r="Z84" s="146"/>
      <c r="AA84" s="146"/>
      <c r="AB84" s="146"/>
      <c r="AC84" s="146"/>
      <c r="AD84" s="146">
        <v>0</v>
      </c>
      <c r="AE84" s="146">
        <v>0</v>
      </c>
      <c r="AF84" s="146">
        <v>0</v>
      </c>
      <c r="AG84" s="146">
        <v>0</v>
      </c>
      <c r="AH84" s="146">
        <v>0</v>
      </c>
      <c r="AI84" s="146">
        <v>0</v>
      </c>
      <c r="AJ84" s="146">
        <v>0</v>
      </c>
      <c r="AK84" s="146">
        <v>0</v>
      </c>
      <c r="AL84" s="146">
        <v>0</v>
      </c>
    </row>
    <row r="85" spans="1:38" s="132" customFormat="1" ht="12">
      <c r="A85" s="167" t="s">
        <v>1194</v>
      </c>
      <c r="B85" s="233">
        <f>C85+'表七(2)'!B85</f>
        <v>844358</v>
      </c>
      <c r="C85" s="195">
        <f t="shared" ref="C85:C94" si="14">SUM(D85:AL85)</f>
        <v>840357</v>
      </c>
      <c r="D85" s="146">
        <f>SUM(D86:D94)</f>
        <v>19079</v>
      </c>
      <c r="E85" s="146">
        <f t="shared" ref="E85:AL85" si="15">SUM(E86:E94)</f>
        <v>113983</v>
      </c>
      <c r="F85" s="146">
        <f t="shared" si="15"/>
        <v>90627</v>
      </c>
      <c r="G85" s="146">
        <f t="shared" si="15"/>
        <v>13279</v>
      </c>
      <c r="H85" s="146">
        <f t="shared" si="15"/>
        <v>0</v>
      </c>
      <c r="I85" s="146">
        <f t="shared" si="15"/>
        <v>1190</v>
      </c>
      <c r="J85" s="146">
        <f t="shared" si="15"/>
        <v>70</v>
      </c>
      <c r="K85" s="146">
        <f t="shared" si="15"/>
        <v>46014</v>
      </c>
      <c r="L85" s="146">
        <f t="shared" si="15"/>
        <v>149483</v>
      </c>
      <c r="M85" s="146">
        <f t="shared" si="15"/>
        <v>0</v>
      </c>
      <c r="N85" s="146">
        <f t="shared" si="15"/>
        <v>1313</v>
      </c>
      <c r="O85" s="146">
        <f t="shared" si="15"/>
        <v>0</v>
      </c>
      <c r="P85" s="146">
        <f t="shared" si="15"/>
        <v>11783</v>
      </c>
      <c r="Q85" s="146">
        <f t="shared" si="15"/>
        <v>980</v>
      </c>
      <c r="R85" s="146">
        <f t="shared" si="15"/>
        <v>0</v>
      </c>
      <c r="S85" s="146">
        <f t="shared" si="15"/>
        <v>0</v>
      </c>
      <c r="T85" s="146">
        <f t="shared" si="15"/>
        <v>12029</v>
      </c>
      <c r="U85" s="146">
        <f t="shared" si="15"/>
        <v>46289</v>
      </c>
      <c r="V85" s="146">
        <f t="shared" si="15"/>
        <v>217</v>
      </c>
      <c r="W85" s="146">
        <f t="shared" si="15"/>
        <v>3352</v>
      </c>
      <c r="X85" s="146">
        <f t="shared" si="15"/>
        <v>68896</v>
      </c>
      <c r="Y85" s="146">
        <f t="shared" si="15"/>
        <v>59736</v>
      </c>
      <c r="Z85" s="146">
        <f t="shared" si="15"/>
        <v>6070</v>
      </c>
      <c r="AA85" s="146">
        <f t="shared" si="15"/>
        <v>0</v>
      </c>
      <c r="AB85" s="146">
        <f t="shared" si="15"/>
        <v>164316</v>
      </c>
      <c r="AC85" s="146">
        <f t="shared" si="15"/>
        <v>1726</v>
      </c>
      <c r="AD85" s="146">
        <f t="shared" si="15"/>
        <v>0</v>
      </c>
      <c r="AE85" s="146">
        <f t="shared" si="15"/>
        <v>375</v>
      </c>
      <c r="AF85" s="146">
        <f t="shared" si="15"/>
        <v>0</v>
      </c>
      <c r="AG85" s="146">
        <f t="shared" si="15"/>
        <v>0</v>
      </c>
      <c r="AH85" s="146">
        <f t="shared" si="15"/>
        <v>12319</v>
      </c>
      <c r="AI85" s="146">
        <f t="shared" si="15"/>
        <v>64</v>
      </c>
      <c r="AJ85" s="146">
        <f t="shared" si="15"/>
        <v>0</v>
      </c>
      <c r="AK85" s="146">
        <f t="shared" si="15"/>
        <v>0</v>
      </c>
      <c r="AL85" s="146">
        <f t="shared" si="15"/>
        <v>17167</v>
      </c>
    </row>
    <row r="86" spans="1:38" s="132" customFormat="1" ht="12">
      <c r="A86" s="167" t="s">
        <v>1663</v>
      </c>
      <c r="B86" s="233">
        <f>C86+'表七(2)'!B86</f>
        <v>131132</v>
      </c>
      <c r="C86" s="195">
        <f t="shared" si="14"/>
        <v>130609</v>
      </c>
      <c r="D86" s="146">
        <v>2197</v>
      </c>
      <c r="E86" s="146">
        <v>12425</v>
      </c>
      <c r="F86" s="146">
        <v>3947</v>
      </c>
      <c r="G86" s="146">
        <v>0</v>
      </c>
      <c r="H86" s="146">
        <v>0</v>
      </c>
      <c r="I86" s="146">
        <v>1077</v>
      </c>
      <c r="J86" s="146">
        <v>0</v>
      </c>
      <c r="K86" s="146">
        <v>0</v>
      </c>
      <c r="L86" s="146">
        <v>31111</v>
      </c>
      <c r="M86" s="146">
        <v>0</v>
      </c>
      <c r="N86" s="146">
        <v>0</v>
      </c>
      <c r="O86" s="146">
        <v>0</v>
      </c>
      <c r="P86" s="146">
        <v>712</v>
      </c>
      <c r="Q86" s="146">
        <v>161</v>
      </c>
      <c r="R86" s="146">
        <v>0</v>
      </c>
      <c r="S86" s="146">
        <v>0</v>
      </c>
      <c r="T86" s="146">
        <v>3459</v>
      </c>
      <c r="U86" s="146">
        <v>13410</v>
      </c>
      <c r="V86" s="146">
        <v>217</v>
      </c>
      <c r="W86" s="146">
        <v>480</v>
      </c>
      <c r="X86" s="146">
        <v>16618</v>
      </c>
      <c r="Y86" s="146">
        <v>23161</v>
      </c>
      <c r="Z86" s="146">
        <v>2864</v>
      </c>
      <c r="AA86" s="146">
        <v>0</v>
      </c>
      <c r="AB86" s="146">
        <v>14472</v>
      </c>
      <c r="AC86" s="146">
        <v>361</v>
      </c>
      <c r="AD86" s="146">
        <v>0</v>
      </c>
      <c r="AE86" s="146">
        <v>0</v>
      </c>
      <c r="AF86" s="146">
        <v>0</v>
      </c>
      <c r="AG86" s="146">
        <v>0</v>
      </c>
      <c r="AH86" s="146">
        <v>3937</v>
      </c>
      <c r="AI86" s="146">
        <v>0</v>
      </c>
      <c r="AJ86" s="146">
        <v>0</v>
      </c>
      <c r="AK86" s="146">
        <v>0</v>
      </c>
      <c r="AL86" s="146">
        <v>0</v>
      </c>
    </row>
    <row r="87" spans="1:38" s="132" customFormat="1" ht="12">
      <c r="A87" s="167" t="s">
        <v>1600</v>
      </c>
      <c r="B87" s="233">
        <f>C87+'表七(2)'!B87</f>
        <v>79044</v>
      </c>
      <c r="C87" s="195">
        <f t="shared" si="14"/>
        <v>78488</v>
      </c>
      <c r="D87" s="146">
        <v>2721</v>
      </c>
      <c r="E87" s="146">
        <v>6240</v>
      </c>
      <c r="F87" s="146">
        <v>4883</v>
      </c>
      <c r="G87" s="146"/>
      <c r="H87" s="146"/>
      <c r="I87" s="146"/>
      <c r="J87" s="146"/>
      <c r="K87" s="146"/>
      <c r="L87" s="146">
        <v>12934</v>
      </c>
      <c r="M87" s="146"/>
      <c r="N87" s="146"/>
      <c r="O87" s="146"/>
      <c r="P87" s="146">
        <v>75</v>
      </c>
      <c r="Q87" s="146">
        <v>113</v>
      </c>
      <c r="R87" s="146"/>
      <c r="S87" s="146"/>
      <c r="T87" s="146">
        <v>1370</v>
      </c>
      <c r="U87" s="146">
        <v>5483</v>
      </c>
      <c r="V87" s="146"/>
      <c r="W87" s="146">
        <v>241</v>
      </c>
      <c r="X87" s="146">
        <v>8020</v>
      </c>
      <c r="Y87" s="146">
        <v>7338</v>
      </c>
      <c r="Z87" s="146">
        <v>256</v>
      </c>
      <c r="AA87" s="146"/>
      <c r="AB87" s="146">
        <v>26330</v>
      </c>
      <c r="AC87" s="146">
        <v>56</v>
      </c>
      <c r="AD87" s="146"/>
      <c r="AE87" s="146"/>
      <c r="AF87" s="146"/>
      <c r="AG87" s="146"/>
      <c r="AH87" s="146">
        <v>2383</v>
      </c>
      <c r="AI87" s="146">
        <v>45</v>
      </c>
      <c r="AJ87" s="146"/>
      <c r="AK87" s="146"/>
      <c r="AL87" s="146"/>
    </row>
    <row r="88" spans="1:38" s="132" customFormat="1" ht="12">
      <c r="A88" s="167" t="s">
        <v>1601</v>
      </c>
      <c r="B88" s="233">
        <f>C88+'表七(2)'!B88</f>
        <v>92345</v>
      </c>
      <c r="C88" s="195">
        <f t="shared" si="14"/>
        <v>91605</v>
      </c>
      <c r="D88" s="146">
        <v>1923</v>
      </c>
      <c r="E88" s="146">
        <v>12121</v>
      </c>
      <c r="F88" s="146">
        <v>8773</v>
      </c>
      <c r="G88" s="146"/>
      <c r="H88" s="146"/>
      <c r="I88" s="146"/>
      <c r="J88" s="146"/>
      <c r="K88" s="146">
        <v>9558</v>
      </c>
      <c r="L88" s="146">
        <v>15382</v>
      </c>
      <c r="M88" s="146"/>
      <c r="N88" s="146"/>
      <c r="O88" s="146"/>
      <c r="P88" s="146">
        <v>1363</v>
      </c>
      <c r="Q88" s="146">
        <v>104</v>
      </c>
      <c r="R88" s="146"/>
      <c r="S88" s="146"/>
      <c r="T88" s="146">
        <v>899</v>
      </c>
      <c r="U88" s="146">
        <v>3342</v>
      </c>
      <c r="V88" s="146"/>
      <c r="W88" s="146">
        <v>243</v>
      </c>
      <c r="X88" s="146">
        <v>4265</v>
      </c>
      <c r="Y88" s="146">
        <v>3890</v>
      </c>
      <c r="Z88" s="146">
        <v>870</v>
      </c>
      <c r="AA88" s="146"/>
      <c r="AB88" s="146">
        <v>18369</v>
      </c>
      <c r="AC88" s="146">
        <v>163</v>
      </c>
      <c r="AD88" s="146"/>
      <c r="AE88" s="146"/>
      <c r="AF88" s="146"/>
      <c r="AG88" s="146"/>
      <c r="AH88" s="146">
        <v>782</v>
      </c>
      <c r="AI88" s="146"/>
      <c r="AJ88" s="146"/>
      <c r="AK88" s="146"/>
      <c r="AL88" s="146">
        <v>9558</v>
      </c>
    </row>
    <row r="89" spans="1:38" s="132" customFormat="1" ht="12">
      <c r="A89" s="167" t="s">
        <v>1602</v>
      </c>
      <c r="B89" s="233">
        <f>C89+'表七(2)'!B89</f>
        <v>77325</v>
      </c>
      <c r="C89" s="195">
        <f t="shared" si="14"/>
        <v>77080</v>
      </c>
      <c r="D89" s="146">
        <v>1232</v>
      </c>
      <c r="E89" s="146">
        <v>8151</v>
      </c>
      <c r="F89" s="146">
        <v>9464</v>
      </c>
      <c r="G89" s="146"/>
      <c r="H89" s="146"/>
      <c r="I89" s="146"/>
      <c r="J89" s="146">
        <v>25</v>
      </c>
      <c r="K89" s="146">
        <v>6742</v>
      </c>
      <c r="L89" s="146">
        <v>16428</v>
      </c>
      <c r="M89" s="146"/>
      <c r="N89" s="146"/>
      <c r="O89" s="146"/>
      <c r="P89" s="146">
        <v>3233</v>
      </c>
      <c r="Q89" s="146">
        <v>114</v>
      </c>
      <c r="R89" s="146"/>
      <c r="S89" s="146"/>
      <c r="T89" s="146">
        <v>1034</v>
      </c>
      <c r="U89" s="146">
        <v>3594</v>
      </c>
      <c r="V89" s="146"/>
      <c r="W89" s="146">
        <v>300</v>
      </c>
      <c r="X89" s="146">
        <v>4198</v>
      </c>
      <c r="Y89" s="146">
        <v>3525</v>
      </c>
      <c r="Z89" s="146">
        <v>50</v>
      </c>
      <c r="AA89" s="146"/>
      <c r="AB89" s="146">
        <v>18385</v>
      </c>
      <c r="AC89" s="146">
        <v>105</v>
      </c>
      <c r="AD89" s="146"/>
      <c r="AE89" s="146"/>
      <c r="AF89" s="146"/>
      <c r="AG89" s="146"/>
      <c r="AH89" s="146">
        <v>500</v>
      </c>
      <c r="AI89" s="146"/>
      <c r="AJ89" s="146"/>
      <c r="AK89" s="146"/>
      <c r="AL89" s="146"/>
    </row>
    <row r="90" spans="1:38" s="132" customFormat="1" ht="12">
      <c r="A90" s="167" t="s">
        <v>1664</v>
      </c>
      <c r="B90" s="233">
        <f>C90+'表七(2)'!B90</f>
        <v>62705</v>
      </c>
      <c r="C90" s="195">
        <f t="shared" si="14"/>
        <v>62502</v>
      </c>
      <c r="D90" s="146">
        <v>1548</v>
      </c>
      <c r="E90" s="146">
        <v>4527</v>
      </c>
      <c r="F90" s="146">
        <v>4615</v>
      </c>
      <c r="G90" s="146"/>
      <c r="H90" s="146"/>
      <c r="I90" s="146"/>
      <c r="J90" s="146"/>
      <c r="K90" s="146">
        <v>11295</v>
      </c>
      <c r="L90" s="146">
        <v>10075</v>
      </c>
      <c r="M90" s="146"/>
      <c r="N90" s="146"/>
      <c r="O90" s="146"/>
      <c r="P90" s="146">
        <v>796</v>
      </c>
      <c r="Q90" s="146">
        <v>105</v>
      </c>
      <c r="R90" s="146"/>
      <c r="S90" s="146"/>
      <c r="T90" s="146">
        <v>1075</v>
      </c>
      <c r="U90" s="146">
        <v>1734</v>
      </c>
      <c r="V90" s="146"/>
      <c r="W90" s="146">
        <v>318</v>
      </c>
      <c r="X90" s="146">
        <v>4286</v>
      </c>
      <c r="Y90" s="146">
        <v>2040</v>
      </c>
      <c r="Z90" s="146">
        <v>522</v>
      </c>
      <c r="AA90" s="146">
        <v>0</v>
      </c>
      <c r="AB90" s="146">
        <v>12481</v>
      </c>
      <c r="AC90" s="146">
        <v>52</v>
      </c>
      <c r="AD90" s="146"/>
      <c r="AE90" s="146"/>
      <c r="AF90" s="146"/>
      <c r="AG90" s="146"/>
      <c r="AH90" s="146">
        <v>624</v>
      </c>
      <c r="AI90" s="146"/>
      <c r="AJ90" s="146"/>
      <c r="AK90" s="146"/>
      <c r="AL90" s="146">
        <v>6409</v>
      </c>
    </row>
    <row r="91" spans="1:38" s="132" customFormat="1" ht="12">
      <c r="A91" s="167" t="s">
        <v>1603</v>
      </c>
      <c r="B91" s="233">
        <f>C91+'表七(2)'!B91</f>
        <v>103045</v>
      </c>
      <c r="C91" s="195">
        <f t="shared" si="14"/>
        <v>102829</v>
      </c>
      <c r="D91" s="146">
        <v>2546</v>
      </c>
      <c r="E91" s="146">
        <v>15897</v>
      </c>
      <c r="F91" s="146">
        <v>13337</v>
      </c>
      <c r="G91" s="146"/>
      <c r="H91" s="146"/>
      <c r="I91" s="146"/>
      <c r="J91" s="146"/>
      <c r="K91" s="146">
        <v>2695</v>
      </c>
      <c r="L91" s="146">
        <v>15461</v>
      </c>
      <c r="M91" s="146"/>
      <c r="N91" s="146"/>
      <c r="O91" s="146"/>
      <c r="P91" s="146"/>
      <c r="Q91" s="146">
        <v>101</v>
      </c>
      <c r="R91" s="146"/>
      <c r="S91" s="146"/>
      <c r="T91" s="146">
        <v>1178</v>
      </c>
      <c r="U91" s="146">
        <v>5026</v>
      </c>
      <c r="V91" s="146"/>
      <c r="W91" s="146">
        <v>440</v>
      </c>
      <c r="X91" s="146">
        <v>8158</v>
      </c>
      <c r="Y91" s="146">
        <v>7322</v>
      </c>
      <c r="Z91" s="146">
        <v>14</v>
      </c>
      <c r="AA91" s="146"/>
      <c r="AB91" s="146">
        <v>28311</v>
      </c>
      <c r="AC91" s="146">
        <v>275</v>
      </c>
      <c r="AD91" s="146"/>
      <c r="AE91" s="146"/>
      <c r="AF91" s="146"/>
      <c r="AG91" s="146"/>
      <c r="AH91" s="146">
        <v>2059</v>
      </c>
      <c r="AI91" s="146">
        <v>9</v>
      </c>
      <c r="AJ91" s="146"/>
      <c r="AK91" s="146"/>
      <c r="AL91" s="146"/>
    </row>
    <row r="92" spans="1:38" s="132" customFormat="1" ht="12">
      <c r="A92" s="167" t="s">
        <v>1665</v>
      </c>
      <c r="B92" s="233">
        <f>C92+'表七(2)'!B92</f>
        <v>141700</v>
      </c>
      <c r="C92" s="195">
        <f t="shared" si="14"/>
        <v>140970</v>
      </c>
      <c r="D92" s="146">
        <v>2905</v>
      </c>
      <c r="E92" s="146">
        <v>27836</v>
      </c>
      <c r="F92" s="146">
        <v>18922</v>
      </c>
      <c r="G92" s="146">
        <v>6813</v>
      </c>
      <c r="H92" s="146">
        <v>0</v>
      </c>
      <c r="I92" s="146">
        <v>113</v>
      </c>
      <c r="J92" s="146">
        <v>20</v>
      </c>
      <c r="K92" s="146">
        <v>5688</v>
      </c>
      <c r="L92" s="146">
        <v>25281</v>
      </c>
      <c r="M92" s="146">
        <v>0</v>
      </c>
      <c r="N92" s="146">
        <v>1313</v>
      </c>
      <c r="O92" s="146">
        <v>0</v>
      </c>
      <c r="P92" s="146">
        <v>3362</v>
      </c>
      <c r="Q92" s="146">
        <v>107</v>
      </c>
      <c r="R92" s="146">
        <v>0</v>
      </c>
      <c r="S92" s="146">
        <v>0</v>
      </c>
      <c r="T92" s="146">
        <v>1334</v>
      </c>
      <c r="U92" s="146">
        <v>6369</v>
      </c>
      <c r="V92" s="146">
        <v>0</v>
      </c>
      <c r="W92" s="146">
        <v>751</v>
      </c>
      <c r="X92" s="146">
        <v>10467</v>
      </c>
      <c r="Y92" s="146">
        <v>7929</v>
      </c>
      <c r="Z92" s="146">
        <v>672</v>
      </c>
      <c r="AA92" s="146">
        <v>0</v>
      </c>
      <c r="AB92" s="146">
        <v>18758</v>
      </c>
      <c r="AC92" s="146">
        <v>494</v>
      </c>
      <c r="AD92" s="146">
        <v>0</v>
      </c>
      <c r="AE92" s="146">
        <v>375</v>
      </c>
      <c r="AF92" s="146">
        <v>0</v>
      </c>
      <c r="AG92" s="146">
        <v>0</v>
      </c>
      <c r="AH92" s="146">
        <v>1451</v>
      </c>
      <c r="AI92" s="146">
        <v>10</v>
      </c>
      <c r="AJ92" s="146">
        <v>0</v>
      </c>
      <c r="AK92" s="146">
        <v>0</v>
      </c>
      <c r="AL92" s="146">
        <v>0</v>
      </c>
    </row>
    <row r="93" spans="1:38" s="132" customFormat="1" ht="12">
      <c r="A93" s="168" t="s">
        <v>1604</v>
      </c>
      <c r="B93" s="233">
        <f>C93+'表七(2)'!B93</f>
        <v>81797</v>
      </c>
      <c r="C93" s="195">
        <f t="shared" si="14"/>
        <v>81339</v>
      </c>
      <c r="D93" s="146">
        <v>2225</v>
      </c>
      <c r="E93" s="146">
        <v>12273</v>
      </c>
      <c r="F93" s="146">
        <v>9000</v>
      </c>
      <c r="G93" s="146">
        <v>6466</v>
      </c>
      <c r="H93" s="146"/>
      <c r="I93" s="146"/>
      <c r="J93" s="146">
        <v>25</v>
      </c>
      <c r="K93" s="146">
        <v>4857</v>
      </c>
      <c r="L93" s="146">
        <v>12455</v>
      </c>
      <c r="M93" s="146"/>
      <c r="N93" s="146"/>
      <c r="O93" s="146"/>
      <c r="P93" s="146">
        <v>980</v>
      </c>
      <c r="Q93" s="146">
        <v>87</v>
      </c>
      <c r="R93" s="146"/>
      <c r="S93" s="146"/>
      <c r="T93" s="146">
        <v>1010</v>
      </c>
      <c r="U93" s="146">
        <v>3875</v>
      </c>
      <c r="V93" s="146"/>
      <c r="W93" s="146">
        <v>286</v>
      </c>
      <c r="X93" s="146">
        <v>8308</v>
      </c>
      <c r="Y93" s="146">
        <v>1000</v>
      </c>
      <c r="Z93" s="146">
        <v>397</v>
      </c>
      <c r="AA93" s="146"/>
      <c r="AB93" s="146">
        <v>17661</v>
      </c>
      <c r="AC93" s="146">
        <v>163</v>
      </c>
      <c r="AD93" s="146"/>
      <c r="AE93" s="146"/>
      <c r="AF93" s="146"/>
      <c r="AG93" s="146"/>
      <c r="AH93" s="146">
        <v>271</v>
      </c>
      <c r="AI93" s="146"/>
      <c r="AJ93" s="146"/>
      <c r="AK93" s="146"/>
      <c r="AL93" s="146"/>
    </row>
    <row r="94" spans="1:38" s="132" customFormat="1" ht="12">
      <c r="A94" s="167" t="s">
        <v>1666</v>
      </c>
      <c r="B94" s="233">
        <f>C94+'表七(2)'!B94</f>
        <v>75265</v>
      </c>
      <c r="C94" s="195">
        <f t="shared" si="14"/>
        <v>74935</v>
      </c>
      <c r="D94" s="146">
        <v>1782</v>
      </c>
      <c r="E94" s="146">
        <v>14513</v>
      </c>
      <c r="F94" s="146">
        <v>17686</v>
      </c>
      <c r="G94" s="146">
        <v>0</v>
      </c>
      <c r="H94" s="146">
        <v>0</v>
      </c>
      <c r="I94" s="146">
        <v>0</v>
      </c>
      <c r="J94" s="146">
        <v>0</v>
      </c>
      <c r="K94" s="146">
        <v>5179</v>
      </c>
      <c r="L94" s="146">
        <v>10356</v>
      </c>
      <c r="M94" s="146">
        <v>0</v>
      </c>
      <c r="N94" s="146">
        <v>0</v>
      </c>
      <c r="O94" s="146">
        <v>0</v>
      </c>
      <c r="P94" s="146">
        <v>1262</v>
      </c>
      <c r="Q94" s="146">
        <v>88</v>
      </c>
      <c r="R94" s="146">
        <v>0</v>
      </c>
      <c r="S94" s="146">
        <v>0</v>
      </c>
      <c r="T94" s="146">
        <v>670</v>
      </c>
      <c r="U94" s="146">
        <v>3456</v>
      </c>
      <c r="V94" s="146">
        <v>0</v>
      </c>
      <c r="W94" s="146">
        <v>293</v>
      </c>
      <c r="X94" s="146">
        <v>4576</v>
      </c>
      <c r="Y94" s="146">
        <v>3531</v>
      </c>
      <c r="Z94" s="146">
        <v>425</v>
      </c>
      <c r="AA94" s="146">
        <v>0</v>
      </c>
      <c r="AB94" s="146">
        <v>9549</v>
      </c>
      <c r="AC94" s="146">
        <v>57</v>
      </c>
      <c r="AD94" s="146">
        <v>0</v>
      </c>
      <c r="AE94" s="146">
        <v>0</v>
      </c>
      <c r="AF94" s="146">
        <v>0</v>
      </c>
      <c r="AG94" s="146">
        <v>0</v>
      </c>
      <c r="AH94" s="146">
        <v>312</v>
      </c>
      <c r="AI94" s="146">
        <v>0</v>
      </c>
      <c r="AJ94" s="146">
        <v>0</v>
      </c>
      <c r="AK94" s="146">
        <v>0</v>
      </c>
      <c r="AL94" s="146">
        <v>1200</v>
      </c>
    </row>
    <row r="95" spans="1:38" s="129" customFormat="1" ht="12">
      <c r="A95" s="165" t="s">
        <v>1673</v>
      </c>
      <c r="B95" s="233">
        <f>C95+'表七(2)'!B95</f>
        <v>2355278</v>
      </c>
      <c r="C95" s="198">
        <v>2304675</v>
      </c>
      <c r="D95" s="198">
        <v>38538</v>
      </c>
      <c r="E95" s="198">
        <v>200257</v>
      </c>
      <c r="F95" s="198">
        <v>114928</v>
      </c>
      <c r="G95" s="198">
        <v>0</v>
      </c>
      <c r="H95" s="198">
        <v>0</v>
      </c>
      <c r="I95" s="198">
        <v>98</v>
      </c>
      <c r="J95" s="198">
        <v>3425</v>
      </c>
      <c r="K95" s="198">
        <v>24095</v>
      </c>
      <c r="L95" s="198">
        <v>339449</v>
      </c>
      <c r="M95" s="198">
        <v>0</v>
      </c>
      <c r="N95" s="198">
        <v>0</v>
      </c>
      <c r="O95" s="198">
        <v>22500</v>
      </c>
      <c r="P95" s="198">
        <v>77427</v>
      </c>
      <c r="Q95" s="198">
        <v>8975</v>
      </c>
      <c r="R95" s="198">
        <v>0</v>
      </c>
      <c r="S95" s="198">
        <v>873</v>
      </c>
      <c r="T95" s="198">
        <v>27852</v>
      </c>
      <c r="U95" s="198">
        <v>219379</v>
      </c>
      <c r="V95" s="198">
        <v>476</v>
      </c>
      <c r="W95" s="198">
        <v>9684</v>
      </c>
      <c r="X95" s="198">
        <v>127336</v>
      </c>
      <c r="Y95" s="198">
        <v>170667</v>
      </c>
      <c r="Z95" s="198">
        <v>20418</v>
      </c>
      <c r="AA95" s="198">
        <v>0</v>
      </c>
      <c r="AB95" s="198">
        <v>734818</v>
      </c>
      <c r="AC95" s="198">
        <v>140321</v>
      </c>
      <c r="AD95" s="198">
        <v>307</v>
      </c>
      <c r="AE95" s="198">
        <v>577</v>
      </c>
      <c r="AF95" s="198">
        <v>0</v>
      </c>
      <c r="AG95" s="198">
        <v>0</v>
      </c>
      <c r="AH95" s="198">
        <v>21327</v>
      </c>
      <c r="AI95" s="198">
        <v>485</v>
      </c>
      <c r="AJ95" s="198">
        <v>8</v>
      </c>
      <c r="AK95" s="198">
        <v>0</v>
      </c>
      <c r="AL95" s="198">
        <v>455</v>
      </c>
    </row>
    <row r="96" spans="1:38" s="129" customFormat="1" ht="12">
      <c r="A96" s="171" t="s">
        <v>1193</v>
      </c>
      <c r="B96" s="233">
        <f>C96+'表七(2)'!B96</f>
        <v>262628</v>
      </c>
      <c r="C96" s="198">
        <v>260213</v>
      </c>
      <c r="D96" s="199">
        <v>6335</v>
      </c>
      <c r="E96" s="199">
        <v>22180</v>
      </c>
      <c r="F96" s="199">
        <v>5029</v>
      </c>
      <c r="G96" s="199"/>
      <c r="H96" s="199"/>
      <c r="I96" s="199">
        <v>-4293</v>
      </c>
      <c r="J96" s="199"/>
      <c r="K96" s="199"/>
      <c r="L96" s="199">
        <v>43129</v>
      </c>
      <c r="M96" s="199"/>
      <c r="N96" s="199"/>
      <c r="O96" s="199">
        <v>1255</v>
      </c>
      <c r="P96" s="199"/>
      <c r="Q96" s="199">
        <v>2648</v>
      </c>
      <c r="R96" s="199"/>
      <c r="S96" s="199">
        <v>873</v>
      </c>
      <c r="T96" s="199">
        <v>4994</v>
      </c>
      <c r="U96" s="199">
        <v>15207</v>
      </c>
      <c r="V96" s="199">
        <v>476</v>
      </c>
      <c r="W96" s="199">
        <v>4559</v>
      </c>
      <c r="X96" s="199">
        <v>7509</v>
      </c>
      <c r="Y96" s="199">
        <v>3552</v>
      </c>
      <c r="Z96" s="199">
        <v>20</v>
      </c>
      <c r="AA96" s="199"/>
      <c r="AB96" s="199">
        <v>11925</v>
      </c>
      <c r="AC96" s="199">
        <v>134500</v>
      </c>
      <c r="AD96" s="199">
        <v>307</v>
      </c>
      <c r="AE96" s="199"/>
      <c r="AF96" s="199"/>
      <c r="AG96" s="199"/>
      <c r="AH96" s="199"/>
      <c r="AI96" s="199"/>
      <c r="AJ96" s="199">
        <v>8</v>
      </c>
      <c r="AK96" s="199"/>
      <c r="AL96" s="199"/>
    </row>
    <row r="97" spans="1:38" s="129" customFormat="1" ht="12">
      <c r="A97" s="171" t="s">
        <v>1194</v>
      </c>
      <c r="B97" s="233">
        <f>C97+'表七(2)'!B97</f>
        <v>2092650</v>
      </c>
      <c r="C97" s="198">
        <v>2044462</v>
      </c>
      <c r="D97" s="198">
        <v>32203</v>
      </c>
      <c r="E97" s="198">
        <v>178077</v>
      </c>
      <c r="F97" s="198">
        <v>109899</v>
      </c>
      <c r="G97" s="198">
        <v>0</v>
      </c>
      <c r="H97" s="198">
        <v>0</v>
      </c>
      <c r="I97" s="198">
        <v>4391</v>
      </c>
      <c r="J97" s="198">
        <v>3425</v>
      </c>
      <c r="K97" s="198">
        <v>24095</v>
      </c>
      <c r="L97" s="198">
        <v>296320</v>
      </c>
      <c r="M97" s="198">
        <v>0</v>
      </c>
      <c r="N97" s="198">
        <v>0</v>
      </c>
      <c r="O97" s="198">
        <v>21245</v>
      </c>
      <c r="P97" s="198">
        <v>77427</v>
      </c>
      <c r="Q97" s="198">
        <v>6327</v>
      </c>
      <c r="R97" s="198">
        <v>0</v>
      </c>
      <c r="S97" s="198">
        <v>0</v>
      </c>
      <c r="T97" s="198">
        <v>22858</v>
      </c>
      <c r="U97" s="198">
        <v>204172</v>
      </c>
      <c r="V97" s="198">
        <v>0</v>
      </c>
      <c r="W97" s="198">
        <v>5125</v>
      </c>
      <c r="X97" s="198">
        <v>119827</v>
      </c>
      <c r="Y97" s="198">
        <v>167115</v>
      </c>
      <c r="Z97" s="198">
        <v>20398</v>
      </c>
      <c r="AA97" s="198">
        <v>0</v>
      </c>
      <c r="AB97" s="198">
        <v>722893</v>
      </c>
      <c r="AC97" s="198">
        <v>5821</v>
      </c>
      <c r="AD97" s="198">
        <v>0</v>
      </c>
      <c r="AE97" s="198">
        <v>577</v>
      </c>
      <c r="AF97" s="198">
        <v>0</v>
      </c>
      <c r="AG97" s="198">
        <v>0</v>
      </c>
      <c r="AH97" s="198">
        <v>21327</v>
      </c>
      <c r="AI97" s="198">
        <v>485</v>
      </c>
      <c r="AJ97" s="198">
        <v>0</v>
      </c>
      <c r="AK97" s="198">
        <v>0</v>
      </c>
      <c r="AL97" s="198">
        <v>455</v>
      </c>
    </row>
    <row r="98" spans="1:38" s="129" customFormat="1" ht="12">
      <c r="A98" s="167" t="s">
        <v>1605</v>
      </c>
      <c r="B98" s="233">
        <f>C98+'表七(2)'!B98</f>
        <v>0</v>
      </c>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c r="AI98" s="198"/>
      <c r="AJ98" s="198"/>
      <c r="AK98" s="198"/>
      <c r="AL98" s="198"/>
    </row>
    <row r="99" spans="1:38" s="129" customFormat="1" ht="12">
      <c r="A99" s="167" t="s">
        <v>1606</v>
      </c>
      <c r="B99" s="233">
        <f>C99+'表七(2)'!B99</f>
        <v>257201</v>
      </c>
      <c r="C99" s="198">
        <v>248204</v>
      </c>
      <c r="D99" s="199">
        <v>1690</v>
      </c>
      <c r="E99" s="199">
        <v>20964</v>
      </c>
      <c r="F99" s="199">
        <v>6642</v>
      </c>
      <c r="G99" s="199"/>
      <c r="H99" s="199"/>
      <c r="I99" s="199">
        <v>4391</v>
      </c>
      <c r="J99" s="199"/>
      <c r="K99" s="199"/>
      <c r="L99" s="199">
        <v>41167</v>
      </c>
      <c r="M99" s="199"/>
      <c r="N99" s="199"/>
      <c r="O99" s="199"/>
      <c r="P99" s="199">
        <v>5542</v>
      </c>
      <c r="Q99" s="199">
        <v>925</v>
      </c>
      <c r="R99" s="199"/>
      <c r="S99" s="199"/>
      <c r="T99" s="199">
        <v>4049</v>
      </c>
      <c r="U99" s="199">
        <v>38067</v>
      </c>
      <c r="V99" s="199"/>
      <c r="W99" s="199">
        <v>431</v>
      </c>
      <c r="X99" s="199">
        <v>15644</v>
      </c>
      <c r="Y99" s="199">
        <v>28338</v>
      </c>
      <c r="Z99" s="199">
        <v>3596</v>
      </c>
      <c r="AA99" s="199"/>
      <c r="AB99" s="199">
        <v>67443</v>
      </c>
      <c r="AC99" s="199">
        <v>791</v>
      </c>
      <c r="AD99" s="199"/>
      <c r="AE99" s="199"/>
      <c r="AF99" s="199"/>
      <c r="AG99" s="199"/>
      <c r="AH99" s="199">
        <v>8524</v>
      </c>
      <c r="AI99" s="199"/>
      <c r="AJ99" s="199"/>
      <c r="AK99" s="199"/>
      <c r="AL99" s="198"/>
    </row>
    <row r="100" spans="1:38" s="129" customFormat="1" ht="12">
      <c r="A100" s="167" t="s">
        <v>1607</v>
      </c>
      <c r="B100" s="233">
        <f>C100+'表七(2)'!B100</f>
        <v>351281</v>
      </c>
      <c r="C100" s="198">
        <v>344561</v>
      </c>
      <c r="D100" s="199">
        <v>4803</v>
      </c>
      <c r="E100" s="199">
        <v>18473</v>
      </c>
      <c r="F100" s="199">
        <v>7414</v>
      </c>
      <c r="G100" s="199"/>
      <c r="H100" s="199"/>
      <c r="I100" s="199"/>
      <c r="J100" s="199"/>
      <c r="K100" s="199"/>
      <c r="L100" s="199">
        <v>45503</v>
      </c>
      <c r="M100" s="199"/>
      <c r="N100" s="199"/>
      <c r="O100" s="199"/>
      <c r="P100" s="199"/>
      <c r="Q100" s="199">
        <v>991</v>
      </c>
      <c r="R100" s="199"/>
      <c r="S100" s="199"/>
      <c r="T100" s="199">
        <v>4314</v>
      </c>
      <c r="U100" s="199">
        <v>35188</v>
      </c>
      <c r="V100" s="199"/>
      <c r="W100" s="199">
        <v>752</v>
      </c>
      <c r="X100" s="199">
        <v>20314</v>
      </c>
      <c r="Y100" s="199">
        <v>33230</v>
      </c>
      <c r="Z100" s="199">
        <v>1839</v>
      </c>
      <c r="AA100" s="199"/>
      <c r="AB100" s="199">
        <v>169135</v>
      </c>
      <c r="AC100" s="199">
        <v>1489</v>
      </c>
      <c r="AD100" s="199"/>
      <c r="AE100" s="199">
        <v>251</v>
      </c>
      <c r="AF100" s="199"/>
      <c r="AG100" s="199"/>
      <c r="AH100" s="199">
        <v>380</v>
      </c>
      <c r="AI100" s="199">
        <v>485</v>
      </c>
      <c r="AJ100" s="199"/>
      <c r="AK100" s="199"/>
      <c r="AL100" s="199"/>
    </row>
    <row r="101" spans="1:38" s="147" customFormat="1" ht="12">
      <c r="A101" s="167" t="s">
        <v>1608</v>
      </c>
      <c r="B101" s="233">
        <f>C101+'表七(2)'!B101</f>
        <v>169181</v>
      </c>
      <c r="C101" s="198">
        <v>165302</v>
      </c>
      <c r="D101" s="199">
        <v>4398</v>
      </c>
      <c r="E101" s="199">
        <v>18300</v>
      </c>
      <c r="F101" s="199">
        <v>8094</v>
      </c>
      <c r="G101" s="199"/>
      <c r="H101" s="199"/>
      <c r="I101" s="199"/>
      <c r="J101" s="199">
        <v>1379</v>
      </c>
      <c r="K101" s="199"/>
      <c r="L101" s="199">
        <v>37016</v>
      </c>
      <c r="M101" s="199"/>
      <c r="N101" s="199"/>
      <c r="O101" s="199"/>
      <c r="P101" s="199">
        <v>8249</v>
      </c>
      <c r="Q101" s="199">
        <v>670</v>
      </c>
      <c r="R101" s="199"/>
      <c r="S101" s="199"/>
      <c r="T101" s="199">
        <v>2314</v>
      </c>
      <c r="U101" s="199">
        <v>20095</v>
      </c>
      <c r="V101" s="199"/>
      <c r="W101" s="199">
        <v>604</v>
      </c>
      <c r="X101" s="199">
        <v>12831</v>
      </c>
      <c r="Y101" s="199">
        <v>17020</v>
      </c>
      <c r="Z101" s="199">
        <v>346</v>
      </c>
      <c r="AA101" s="199"/>
      <c r="AB101" s="199">
        <v>29976</v>
      </c>
      <c r="AC101" s="199">
        <v>585</v>
      </c>
      <c r="AD101" s="199"/>
      <c r="AE101" s="199"/>
      <c r="AF101" s="199"/>
      <c r="AG101" s="199"/>
      <c r="AH101" s="199">
        <v>3425</v>
      </c>
      <c r="AI101" s="199"/>
      <c r="AJ101" s="199"/>
      <c r="AK101" s="199"/>
      <c r="AL101" s="199"/>
    </row>
    <row r="102" spans="1:38" s="129" customFormat="1" ht="12">
      <c r="A102" s="167" t="s">
        <v>1609</v>
      </c>
      <c r="B102" s="233">
        <f>C102+'表七(2)'!B102</f>
        <v>198063</v>
      </c>
      <c r="C102" s="198">
        <v>190464</v>
      </c>
      <c r="D102" s="199">
        <v>3591</v>
      </c>
      <c r="E102" s="199">
        <v>14674</v>
      </c>
      <c r="F102" s="199">
        <v>12122</v>
      </c>
      <c r="G102" s="199"/>
      <c r="H102" s="199"/>
      <c r="I102" s="199"/>
      <c r="J102" s="199"/>
      <c r="K102" s="199"/>
      <c r="L102" s="199">
        <v>26426</v>
      </c>
      <c r="M102" s="199"/>
      <c r="N102" s="199"/>
      <c r="O102" s="199"/>
      <c r="P102" s="199"/>
      <c r="Q102" s="199">
        <v>571</v>
      </c>
      <c r="R102" s="199"/>
      <c r="S102" s="199"/>
      <c r="T102" s="199">
        <v>1804</v>
      </c>
      <c r="U102" s="199">
        <v>18634</v>
      </c>
      <c r="V102" s="199"/>
      <c r="W102" s="199">
        <v>1083</v>
      </c>
      <c r="X102" s="199">
        <v>9696</v>
      </c>
      <c r="Y102" s="199">
        <v>13240</v>
      </c>
      <c r="Z102" s="199">
        <v>1190</v>
      </c>
      <c r="AA102" s="199"/>
      <c r="AB102" s="199">
        <v>85124</v>
      </c>
      <c r="AC102" s="199">
        <v>618</v>
      </c>
      <c r="AD102" s="199"/>
      <c r="AE102" s="199">
        <v>326</v>
      </c>
      <c r="AF102" s="199"/>
      <c r="AG102" s="199"/>
      <c r="AH102" s="199">
        <v>1365</v>
      </c>
      <c r="AI102" s="199"/>
      <c r="AJ102" s="199"/>
      <c r="AK102" s="199"/>
      <c r="AL102" s="198"/>
    </row>
    <row r="103" spans="1:38" s="129" customFormat="1" ht="12">
      <c r="A103" s="167" t="s">
        <v>1610</v>
      </c>
      <c r="B103" s="233">
        <f>C103+'表七(2)'!B103</f>
        <v>286025</v>
      </c>
      <c r="C103" s="198">
        <v>280818</v>
      </c>
      <c r="D103" s="199">
        <v>3197</v>
      </c>
      <c r="E103" s="199">
        <v>13049</v>
      </c>
      <c r="F103" s="199">
        <v>10311</v>
      </c>
      <c r="G103" s="199"/>
      <c r="H103" s="199"/>
      <c r="I103" s="199"/>
      <c r="J103" s="199"/>
      <c r="K103" s="199">
        <v>2990</v>
      </c>
      <c r="L103" s="199">
        <v>27809</v>
      </c>
      <c r="M103" s="199"/>
      <c r="N103" s="199"/>
      <c r="O103" s="199"/>
      <c r="P103" s="199">
        <v>8819</v>
      </c>
      <c r="Q103" s="199">
        <v>596</v>
      </c>
      <c r="R103" s="199"/>
      <c r="S103" s="199"/>
      <c r="T103" s="199">
        <v>2431</v>
      </c>
      <c r="U103" s="199">
        <v>21764</v>
      </c>
      <c r="V103" s="199"/>
      <c r="W103" s="199">
        <v>523</v>
      </c>
      <c r="X103" s="199">
        <v>11135</v>
      </c>
      <c r="Y103" s="199">
        <v>17910</v>
      </c>
      <c r="Z103" s="199">
        <v>1445</v>
      </c>
      <c r="AA103" s="199"/>
      <c r="AB103" s="199">
        <v>154904</v>
      </c>
      <c r="AC103" s="199">
        <v>844</v>
      </c>
      <c r="AD103" s="199"/>
      <c r="AE103" s="199"/>
      <c r="AF103" s="199"/>
      <c r="AG103" s="199"/>
      <c r="AH103" s="199">
        <v>3091</v>
      </c>
      <c r="AI103" s="199"/>
      <c r="AJ103" s="199"/>
      <c r="AK103" s="199"/>
      <c r="AL103" s="199"/>
    </row>
    <row r="104" spans="1:38" s="129" customFormat="1" ht="12">
      <c r="A104" s="167" t="s">
        <v>1611</v>
      </c>
      <c r="B104" s="233">
        <f>C104+'表七(2)'!B104</f>
        <v>216465</v>
      </c>
      <c r="C104" s="198">
        <v>209518</v>
      </c>
      <c r="D104" s="199">
        <v>4229</v>
      </c>
      <c r="E104" s="199">
        <v>21042</v>
      </c>
      <c r="F104" s="199">
        <v>17225</v>
      </c>
      <c r="G104" s="199"/>
      <c r="H104" s="199"/>
      <c r="I104" s="199"/>
      <c r="J104" s="199">
        <v>704</v>
      </c>
      <c r="K104" s="199">
        <v>3512</v>
      </c>
      <c r="L104" s="199">
        <v>30412</v>
      </c>
      <c r="M104" s="199"/>
      <c r="N104" s="199"/>
      <c r="O104" s="199">
        <v>9232</v>
      </c>
      <c r="P104" s="199">
        <v>8427</v>
      </c>
      <c r="Q104" s="199">
        <v>559</v>
      </c>
      <c r="R104" s="199"/>
      <c r="S104" s="199"/>
      <c r="T104" s="199">
        <v>1805</v>
      </c>
      <c r="U104" s="199">
        <v>18467</v>
      </c>
      <c r="V104" s="199"/>
      <c r="W104" s="199">
        <v>471</v>
      </c>
      <c r="X104" s="199">
        <v>8826</v>
      </c>
      <c r="Y104" s="199">
        <v>15934</v>
      </c>
      <c r="Z104" s="199">
        <v>3699</v>
      </c>
      <c r="AA104" s="199"/>
      <c r="AB104" s="199">
        <v>61904</v>
      </c>
      <c r="AC104" s="199">
        <v>422</v>
      </c>
      <c r="AD104" s="199"/>
      <c r="AE104" s="199"/>
      <c r="AF104" s="199"/>
      <c r="AG104" s="199"/>
      <c r="AH104" s="199">
        <v>2427</v>
      </c>
      <c r="AI104" s="199"/>
      <c r="AJ104" s="199"/>
      <c r="AK104" s="199"/>
      <c r="AL104" s="199">
        <v>221</v>
      </c>
    </row>
    <row r="105" spans="1:38" s="129" customFormat="1" ht="12">
      <c r="A105" s="167" t="s">
        <v>1612</v>
      </c>
      <c r="B105" s="233">
        <f>C105+'表七(2)'!B105</f>
        <v>228162</v>
      </c>
      <c r="C105" s="200">
        <v>224216</v>
      </c>
      <c r="D105" s="199">
        <v>3821</v>
      </c>
      <c r="E105" s="199">
        <v>27729</v>
      </c>
      <c r="F105" s="199">
        <v>18312</v>
      </c>
      <c r="G105" s="199">
        <v>0</v>
      </c>
      <c r="H105" s="199">
        <v>0</v>
      </c>
      <c r="I105" s="199">
        <v>0</v>
      </c>
      <c r="J105" s="199">
        <v>1015</v>
      </c>
      <c r="K105" s="199">
        <v>6741</v>
      </c>
      <c r="L105" s="199">
        <v>33066</v>
      </c>
      <c r="M105" s="199">
        <v>0</v>
      </c>
      <c r="N105" s="199">
        <v>0</v>
      </c>
      <c r="O105" s="199">
        <v>12013</v>
      </c>
      <c r="P105" s="199">
        <v>25896</v>
      </c>
      <c r="Q105" s="199">
        <v>845</v>
      </c>
      <c r="R105" s="199">
        <v>0</v>
      </c>
      <c r="S105" s="199">
        <v>0</v>
      </c>
      <c r="T105" s="199">
        <v>2436</v>
      </c>
      <c r="U105" s="199">
        <v>21434</v>
      </c>
      <c r="V105" s="199">
        <v>0</v>
      </c>
      <c r="W105" s="199">
        <v>411</v>
      </c>
      <c r="X105" s="199">
        <v>20190</v>
      </c>
      <c r="Y105" s="199">
        <v>18652</v>
      </c>
      <c r="Z105" s="199">
        <v>5788</v>
      </c>
      <c r="AA105" s="199">
        <v>0</v>
      </c>
      <c r="AB105" s="199">
        <v>23733</v>
      </c>
      <c r="AC105" s="199">
        <v>349</v>
      </c>
      <c r="AD105" s="199">
        <v>0</v>
      </c>
      <c r="AE105" s="199">
        <v>0</v>
      </c>
      <c r="AF105" s="199">
        <v>0</v>
      </c>
      <c r="AG105" s="199">
        <v>0</v>
      </c>
      <c r="AH105" s="199">
        <v>1552</v>
      </c>
      <c r="AI105" s="199">
        <v>0</v>
      </c>
      <c r="AJ105" s="199">
        <v>0</v>
      </c>
      <c r="AK105" s="199">
        <v>0</v>
      </c>
      <c r="AL105" s="199">
        <v>233</v>
      </c>
    </row>
    <row r="106" spans="1:38" s="129" customFormat="1" ht="12">
      <c r="A106" s="167" t="s">
        <v>1613</v>
      </c>
      <c r="B106" s="233">
        <f>C106+'表七(2)'!B106</f>
        <v>296158</v>
      </c>
      <c r="C106" s="198">
        <v>292465</v>
      </c>
      <c r="D106" s="199">
        <v>3628</v>
      </c>
      <c r="E106" s="199">
        <v>29291</v>
      </c>
      <c r="F106" s="199">
        <v>21001</v>
      </c>
      <c r="G106" s="199"/>
      <c r="H106" s="199"/>
      <c r="I106" s="199"/>
      <c r="J106" s="199"/>
      <c r="K106" s="199">
        <v>6157</v>
      </c>
      <c r="L106" s="199">
        <v>38245</v>
      </c>
      <c r="M106" s="199"/>
      <c r="N106" s="199"/>
      <c r="O106" s="199"/>
      <c r="P106" s="199">
        <v>9938</v>
      </c>
      <c r="Q106" s="199">
        <v>906</v>
      </c>
      <c r="R106" s="199"/>
      <c r="S106" s="199"/>
      <c r="T106" s="199">
        <v>2607</v>
      </c>
      <c r="U106" s="199">
        <v>22688</v>
      </c>
      <c r="V106" s="199"/>
      <c r="W106" s="199">
        <v>514</v>
      </c>
      <c r="X106" s="199">
        <v>14137</v>
      </c>
      <c r="Y106" s="199">
        <v>18536</v>
      </c>
      <c r="Z106" s="199">
        <v>1567</v>
      </c>
      <c r="AA106" s="199"/>
      <c r="AB106" s="199">
        <v>122000</v>
      </c>
      <c r="AC106" s="199">
        <v>687</v>
      </c>
      <c r="AD106" s="199"/>
      <c r="AE106" s="199"/>
      <c r="AF106" s="199"/>
      <c r="AG106" s="199"/>
      <c r="AH106" s="199">
        <v>563</v>
      </c>
      <c r="AI106" s="199"/>
      <c r="AJ106" s="199"/>
      <c r="AK106" s="199"/>
      <c r="AL106" s="199"/>
    </row>
    <row r="107" spans="1:38" s="129" customFormat="1" ht="12">
      <c r="A107" s="167" t="s">
        <v>1614</v>
      </c>
      <c r="B107" s="233">
        <f>C107+'表七(2)'!B107</f>
        <v>90114</v>
      </c>
      <c r="C107" s="200">
        <v>88914</v>
      </c>
      <c r="D107" s="199">
        <v>2846</v>
      </c>
      <c r="E107" s="199">
        <v>14555</v>
      </c>
      <c r="F107" s="199">
        <v>8778</v>
      </c>
      <c r="G107" s="199"/>
      <c r="H107" s="199"/>
      <c r="I107" s="199"/>
      <c r="J107" s="199">
        <v>327</v>
      </c>
      <c r="K107" s="199">
        <v>4695</v>
      </c>
      <c r="L107" s="199">
        <v>16676</v>
      </c>
      <c r="M107" s="199"/>
      <c r="N107" s="199"/>
      <c r="O107" s="199"/>
      <c r="P107" s="199">
        <v>10556</v>
      </c>
      <c r="Q107" s="199">
        <v>264</v>
      </c>
      <c r="R107" s="199"/>
      <c r="S107" s="199"/>
      <c r="T107" s="199">
        <v>1098</v>
      </c>
      <c r="U107" s="199">
        <v>7835</v>
      </c>
      <c r="V107" s="199"/>
      <c r="W107" s="199">
        <v>336</v>
      </c>
      <c r="X107" s="199">
        <v>7054</v>
      </c>
      <c r="Y107" s="199">
        <v>4255</v>
      </c>
      <c r="Z107" s="199">
        <v>928</v>
      </c>
      <c r="AA107" s="199"/>
      <c r="AB107" s="199">
        <v>8674</v>
      </c>
      <c r="AC107" s="199">
        <v>36</v>
      </c>
      <c r="AD107" s="199"/>
      <c r="AE107" s="199"/>
      <c r="AF107" s="199"/>
      <c r="AG107" s="199"/>
      <c r="AH107" s="199"/>
      <c r="AI107" s="199"/>
      <c r="AJ107" s="199"/>
      <c r="AK107" s="199"/>
      <c r="AL107" s="199">
        <v>1</v>
      </c>
    </row>
    <row r="108" spans="1:38" ht="17.25" customHeight="1">
      <c r="A108" s="161" t="s">
        <v>1615</v>
      </c>
      <c r="B108" s="233">
        <f>C108+'表七(2)'!B108</f>
        <v>1322205</v>
      </c>
      <c r="C108" s="213">
        <f>SUM(D108:AL108)</f>
        <v>1182705</v>
      </c>
      <c r="D108" s="214">
        <v>20000</v>
      </c>
      <c r="E108" s="214">
        <v>180000</v>
      </c>
      <c r="F108" s="214">
        <v>100000</v>
      </c>
      <c r="G108" s="214">
        <v>5000</v>
      </c>
      <c r="H108" s="214">
        <v>2000</v>
      </c>
      <c r="I108" s="214"/>
      <c r="J108" s="214">
        <v>2000</v>
      </c>
      <c r="K108" s="214">
        <v>20000</v>
      </c>
      <c r="L108" s="214">
        <v>230000</v>
      </c>
      <c r="M108" s="214">
        <v>0</v>
      </c>
      <c r="N108" s="214">
        <v>10000</v>
      </c>
      <c r="O108" s="214">
        <v>60000</v>
      </c>
      <c r="P108" s="214">
        <v>120000</v>
      </c>
      <c r="Q108" s="214">
        <v>20000</v>
      </c>
      <c r="R108" s="214">
        <v>0</v>
      </c>
      <c r="S108" s="214">
        <v>200</v>
      </c>
      <c r="T108" s="214">
        <v>9800</v>
      </c>
      <c r="U108" s="214">
        <v>60000</v>
      </c>
      <c r="V108" s="214">
        <v>200</v>
      </c>
      <c r="W108" s="214">
        <v>4000</v>
      </c>
      <c r="X108" s="213">
        <f>70000-200</f>
        <v>69800</v>
      </c>
      <c r="Y108" s="213">
        <v>56000</v>
      </c>
      <c r="Z108" s="213">
        <v>8000</v>
      </c>
      <c r="AA108" s="213">
        <v>0</v>
      </c>
      <c r="AB108" s="213">
        <v>40000</v>
      </c>
      <c r="AC108" s="213">
        <v>133805</v>
      </c>
      <c r="AD108" s="213">
        <v>2000</v>
      </c>
      <c r="AE108" s="213">
        <v>900</v>
      </c>
      <c r="AF108" s="213">
        <v>0</v>
      </c>
      <c r="AG108" s="213">
        <v>0</v>
      </c>
      <c r="AH108" s="213">
        <v>8000</v>
      </c>
      <c r="AI108" s="213">
        <v>0</v>
      </c>
      <c r="AJ108" s="213">
        <v>1000</v>
      </c>
      <c r="AK108" s="213">
        <v>0</v>
      </c>
      <c r="AL108" s="213">
        <v>20000</v>
      </c>
    </row>
    <row r="109" spans="1:38" ht="17.25" customHeight="1">
      <c r="A109" s="167" t="s">
        <v>1193</v>
      </c>
      <c r="B109" s="233">
        <f>C109+'表七(2)'!B109</f>
        <v>141042</v>
      </c>
      <c r="C109" s="213">
        <f>SUM(D109:AL109)</f>
        <v>126742</v>
      </c>
      <c r="D109" s="214">
        <v>6000</v>
      </c>
      <c r="E109" s="214">
        <v>19200</v>
      </c>
      <c r="F109" s="214">
        <v>0</v>
      </c>
      <c r="G109" s="214">
        <v>3000</v>
      </c>
      <c r="H109" s="214">
        <v>0</v>
      </c>
      <c r="I109" s="214">
        <v>0</v>
      </c>
      <c r="J109" s="214">
        <v>0</v>
      </c>
      <c r="K109" s="214">
        <v>0</v>
      </c>
      <c r="L109" s="214">
        <f>20000-500</f>
        <v>19500</v>
      </c>
      <c r="M109" s="214">
        <v>0</v>
      </c>
      <c r="N109" s="214">
        <v>0</v>
      </c>
      <c r="O109" s="214">
        <v>2000</v>
      </c>
      <c r="P109" s="214">
        <v>100</v>
      </c>
      <c r="Q109" s="214">
        <v>3000</v>
      </c>
      <c r="R109" s="214">
        <v>0</v>
      </c>
      <c r="S109" s="214">
        <v>200</v>
      </c>
      <c r="T109" s="214">
        <v>2000</v>
      </c>
      <c r="U109" s="214">
        <v>3000</v>
      </c>
      <c r="V109" s="214">
        <v>100</v>
      </c>
      <c r="W109" s="214">
        <v>600</v>
      </c>
      <c r="X109" s="213">
        <v>3000</v>
      </c>
      <c r="Y109" s="213">
        <v>14000</v>
      </c>
      <c r="Z109" s="213">
        <v>0</v>
      </c>
      <c r="AA109" s="213">
        <v>0</v>
      </c>
      <c r="AB109" s="213">
        <v>1000</v>
      </c>
      <c r="AC109" s="213">
        <v>50000</v>
      </c>
      <c r="AD109" s="213">
        <v>0</v>
      </c>
      <c r="AE109" s="213">
        <v>0</v>
      </c>
      <c r="AF109" s="213">
        <v>0</v>
      </c>
      <c r="AG109" s="213">
        <v>0</v>
      </c>
      <c r="AH109" s="213">
        <v>0</v>
      </c>
      <c r="AI109" s="213">
        <v>0</v>
      </c>
      <c r="AJ109" s="213">
        <v>42</v>
      </c>
      <c r="AK109" s="213">
        <v>0</v>
      </c>
      <c r="AL109" s="213">
        <v>0</v>
      </c>
    </row>
    <row r="110" spans="1:38" ht="17.25" customHeight="1">
      <c r="A110" s="167" t="s">
        <v>1194</v>
      </c>
      <c r="B110" s="233">
        <f>C110+'表七(2)'!B110</f>
        <v>1181163</v>
      </c>
      <c r="C110" s="213">
        <f>SUM(C111:C114)</f>
        <v>1055963</v>
      </c>
      <c r="D110" s="213">
        <f>SUM(D111:D114)</f>
        <v>14000</v>
      </c>
      <c r="E110" s="213">
        <f t="shared" ref="E110:AL110" si="16">SUM(E111:E114)</f>
        <v>160800</v>
      </c>
      <c r="F110" s="213">
        <f t="shared" si="16"/>
        <v>100000</v>
      </c>
      <c r="G110" s="213">
        <f t="shared" si="16"/>
        <v>2000</v>
      </c>
      <c r="H110" s="213">
        <f t="shared" si="16"/>
        <v>2000</v>
      </c>
      <c r="I110" s="213">
        <f t="shared" si="16"/>
        <v>0</v>
      </c>
      <c r="J110" s="213">
        <f t="shared" si="16"/>
        <v>2000</v>
      </c>
      <c r="K110" s="213">
        <f t="shared" si="16"/>
        <v>20000</v>
      </c>
      <c r="L110" s="213">
        <f t="shared" si="16"/>
        <v>210500</v>
      </c>
      <c r="M110" s="213">
        <f t="shared" si="16"/>
        <v>0</v>
      </c>
      <c r="N110" s="213">
        <f t="shared" si="16"/>
        <v>10000</v>
      </c>
      <c r="O110" s="213">
        <f t="shared" si="16"/>
        <v>58000</v>
      </c>
      <c r="P110" s="213">
        <f t="shared" si="16"/>
        <v>119900</v>
      </c>
      <c r="Q110" s="213">
        <f t="shared" si="16"/>
        <v>17000</v>
      </c>
      <c r="R110" s="213">
        <f t="shared" si="16"/>
        <v>0</v>
      </c>
      <c r="S110" s="213">
        <f t="shared" si="16"/>
        <v>0</v>
      </c>
      <c r="T110" s="213">
        <f t="shared" si="16"/>
        <v>7800</v>
      </c>
      <c r="U110" s="213">
        <f t="shared" si="16"/>
        <v>57000</v>
      </c>
      <c r="V110" s="213">
        <f t="shared" si="16"/>
        <v>100</v>
      </c>
      <c r="W110" s="213">
        <f t="shared" si="16"/>
        <v>3400</v>
      </c>
      <c r="X110" s="213">
        <f t="shared" si="16"/>
        <v>66800</v>
      </c>
      <c r="Y110" s="213">
        <f t="shared" si="16"/>
        <v>42000</v>
      </c>
      <c r="Z110" s="213">
        <f t="shared" si="16"/>
        <v>8000</v>
      </c>
      <c r="AA110" s="213">
        <f t="shared" si="16"/>
        <v>0</v>
      </c>
      <c r="AB110" s="213">
        <f t="shared" si="16"/>
        <v>39000</v>
      </c>
      <c r="AC110" s="213">
        <f t="shared" si="16"/>
        <v>83805</v>
      </c>
      <c r="AD110" s="213">
        <f t="shared" si="16"/>
        <v>2000</v>
      </c>
      <c r="AE110" s="213">
        <f t="shared" si="16"/>
        <v>900</v>
      </c>
      <c r="AF110" s="213">
        <f t="shared" si="16"/>
        <v>0</v>
      </c>
      <c r="AG110" s="213">
        <f t="shared" si="16"/>
        <v>0</v>
      </c>
      <c r="AH110" s="213">
        <f t="shared" si="16"/>
        <v>8000</v>
      </c>
      <c r="AI110" s="213">
        <f t="shared" si="16"/>
        <v>0</v>
      </c>
      <c r="AJ110" s="213">
        <f t="shared" si="16"/>
        <v>958</v>
      </c>
      <c r="AK110" s="213">
        <f t="shared" si="16"/>
        <v>0</v>
      </c>
      <c r="AL110" s="213">
        <f t="shared" si="16"/>
        <v>20000</v>
      </c>
    </row>
    <row r="111" spans="1:38" ht="17.25" customHeight="1">
      <c r="A111" s="167" t="s">
        <v>1616</v>
      </c>
      <c r="B111" s="233">
        <f>C111+'表七(2)'!B111</f>
        <v>390400</v>
      </c>
      <c r="C111" s="213">
        <f>SUM(D111:AL111)</f>
        <v>336361</v>
      </c>
      <c r="D111" s="213">
        <v>4662</v>
      </c>
      <c r="E111" s="213">
        <f>56685-152+5000</f>
        <v>61533</v>
      </c>
      <c r="F111" s="213">
        <v>29969</v>
      </c>
      <c r="G111" s="213">
        <v>721</v>
      </c>
      <c r="H111" s="213"/>
      <c r="I111" s="213"/>
      <c r="J111" s="213">
        <f>950-289</f>
        <v>661</v>
      </c>
      <c r="K111" s="213">
        <v>4673</v>
      </c>
      <c r="L111" s="213">
        <f>4692+62763</f>
        <v>67455</v>
      </c>
      <c r="M111" s="213"/>
      <c r="N111" s="213">
        <v>3014</v>
      </c>
      <c r="O111" s="213">
        <f>2066+13446</f>
        <v>15512</v>
      </c>
      <c r="P111" s="213">
        <f>8015+30695</f>
        <v>38710</v>
      </c>
      <c r="Q111" s="213">
        <v>7134</v>
      </c>
      <c r="R111" s="213"/>
      <c r="S111" s="213"/>
      <c r="T111" s="213">
        <v>4090</v>
      </c>
      <c r="U111" s="213">
        <f>3052+13627</f>
        <v>16679</v>
      </c>
      <c r="V111" s="213">
        <v>50</v>
      </c>
      <c r="W111" s="213">
        <v>991</v>
      </c>
      <c r="X111" s="213">
        <v>21168</v>
      </c>
      <c r="Y111" s="213">
        <v>17333</v>
      </c>
      <c r="Z111" s="213">
        <v>1628</v>
      </c>
      <c r="AA111" s="213"/>
      <c r="AB111" s="213">
        <f>6287+1666</f>
        <v>7953</v>
      </c>
      <c r="AC111" s="213">
        <v>25665</v>
      </c>
      <c r="AD111" s="213">
        <f>242+658</f>
        <v>900</v>
      </c>
      <c r="AE111" s="213">
        <v>187</v>
      </c>
      <c r="AF111" s="213"/>
      <c r="AG111" s="213"/>
      <c r="AH111" s="213">
        <v>4506</v>
      </c>
      <c r="AI111" s="213"/>
      <c r="AJ111" s="213">
        <v>504</v>
      </c>
      <c r="AK111" s="213">
        <v>0</v>
      </c>
      <c r="AL111" s="213">
        <v>663</v>
      </c>
    </row>
    <row r="112" spans="1:38" ht="17.25" customHeight="1">
      <c r="A112" s="167" t="s">
        <v>1617</v>
      </c>
      <c r="B112" s="233">
        <f>C112+'表七(2)'!B112</f>
        <v>490114</v>
      </c>
      <c r="C112" s="213">
        <f>SUM(D112:AL112)</f>
        <v>441523</v>
      </c>
      <c r="D112" s="213">
        <f>4194-399</f>
        <v>3795</v>
      </c>
      <c r="E112" s="213">
        <v>57569</v>
      </c>
      <c r="F112" s="213">
        <v>30835</v>
      </c>
      <c r="G112" s="213">
        <v>650</v>
      </c>
      <c r="H112" s="213"/>
      <c r="I112" s="213"/>
      <c r="J112" s="213">
        <v>1040</v>
      </c>
      <c r="K112" s="213">
        <v>6155</v>
      </c>
      <c r="L112" s="213">
        <f>500+71997</f>
        <v>72497</v>
      </c>
      <c r="M112" s="213"/>
      <c r="N112" s="213">
        <v>2820</v>
      </c>
      <c r="O112" s="213">
        <v>26768</v>
      </c>
      <c r="P112" s="213">
        <v>64196</v>
      </c>
      <c r="Q112" s="213">
        <v>8941</v>
      </c>
      <c r="R112" s="213"/>
      <c r="S112" s="213"/>
      <c r="T112" s="213">
        <v>2872</v>
      </c>
      <c r="U112" s="213">
        <f>34996</f>
        <v>34996</v>
      </c>
      <c r="V112" s="213"/>
      <c r="W112" s="213">
        <f>1754-702</f>
        <v>1052</v>
      </c>
      <c r="X112" s="213">
        <v>38136</v>
      </c>
      <c r="Y112" s="213">
        <v>15094</v>
      </c>
      <c r="Z112" s="213">
        <f>4553-996</f>
        <v>3557</v>
      </c>
      <c r="AA112" s="213"/>
      <c r="AB112" s="213">
        <v>22635</v>
      </c>
      <c r="AC112" s="213">
        <v>23734</v>
      </c>
      <c r="AD112" s="213">
        <v>1050</v>
      </c>
      <c r="AE112" s="213">
        <f>924-211</f>
        <v>713</v>
      </c>
      <c r="AF112" s="213"/>
      <c r="AG112" s="213"/>
      <c r="AH112" s="213">
        <f>5182-1868</f>
        <v>3314</v>
      </c>
      <c r="AI112" s="213"/>
      <c r="AJ112" s="213">
        <f>431-57</f>
        <v>374</v>
      </c>
      <c r="AK112" s="213"/>
      <c r="AL112" s="213">
        <f>30351-11621</f>
        <v>18730</v>
      </c>
    </row>
    <row r="113" spans="1:38" ht="17.25" customHeight="1">
      <c r="A113" s="167" t="s">
        <v>1618</v>
      </c>
      <c r="B113" s="233">
        <f>C113+'表七(2)'!B113</f>
        <v>154450</v>
      </c>
      <c r="C113" s="213">
        <f>SUM(D113:AL113)</f>
        <v>141698</v>
      </c>
      <c r="D113" s="213">
        <v>3098</v>
      </c>
      <c r="E113" s="213">
        <v>19980</v>
      </c>
      <c r="F113" s="213">
        <f>18257-2884</f>
        <v>15373</v>
      </c>
      <c r="G113" s="213">
        <v>129</v>
      </c>
      <c r="H113" s="213">
        <v>2000</v>
      </c>
      <c r="I113" s="213"/>
      <c r="J113" s="213"/>
      <c r="K113" s="213">
        <v>4783</v>
      </c>
      <c r="L113" s="213">
        <f>38728-1578</f>
        <v>37150</v>
      </c>
      <c r="M113" s="213"/>
      <c r="N113" s="213">
        <v>2467</v>
      </c>
      <c r="O113" s="213">
        <v>3708</v>
      </c>
      <c r="P113" s="213">
        <v>9493</v>
      </c>
      <c r="Q113" s="213">
        <f>554+371</f>
        <v>925</v>
      </c>
      <c r="R113" s="213"/>
      <c r="S113" s="213"/>
      <c r="T113" s="213">
        <v>163</v>
      </c>
      <c r="U113" s="213">
        <v>89</v>
      </c>
      <c r="V113" s="213">
        <v>50</v>
      </c>
      <c r="W113" s="213">
        <v>704</v>
      </c>
      <c r="X113" s="213">
        <f>3019+3828</f>
        <v>6847</v>
      </c>
      <c r="Y113" s="213">
        <v>6065</v>
      </c>
      <c r="Z113" s="213">
        <v>1260</v>
      </c>
      <c r="AA113" s="213"/>
      <c r="AB113" s="213">
        <v>7263</v>
      </c>
      <c r="AC113" s="213">
        <f>15000+4406</f>
        <v>19406</v>
      </c>
      <c r="AD113" s="213">
        <v>50</v>
      </c>
      <c r="AE113" s="213"/>
      <c r="AF113" s="213"/>
      <c r="AG113" s="213"/>
      <c r="AH113" s="213">
        <v>180</v>
      </c>
      <c r="AI113" s="213"/>
      <c r="AJ113" s="213">
        <v>80</v>
      </c>
      <c r="AK113" s="213"/>
      <c r="AL113" s="213">
        <v>435</v>
      </c>
    </row>
    <row r="114" spans="1:38" ht="17.25" customHeight="1">
      <c r="A114" s="168" t="s">
        <v>1619</v>
      </c>
      <c r="B114" s="233">
        <f>C114+'表七(2)'!B114</f>
        <v>146199</v>
      </c>
      <c r="C114" s="213">
        <f>SUM(D114:AL114)</f>
        <v>136381</v>
      </c>
      <c r="D114" s="213">
        <v>2445</v>
      </c>
      <c r="E114" s="213">
        <v>21718</v>
      </c>
      <c r="F114" s="213">
        <v>23823</v>
      </c>
      <c r="G114" s="213">
        <f>663-163</f>
        <v>500</v>
      </c>
      <c r="H114" s="213"/>
      <c r="I114" s="213"/>
      <c r="J114" s="213">
        <v>299</v>
      </c>
      <c r="K114" s="213">
        <f>5251-862</f>
        <v>4389</v>
      </c>
      <c r="L114" s="213">
        <f>31820+1578</f>
        <v>33398</v>
      </c>
      <c r="M114" s="213"/>
      <c r="N114" s="213">
        <f>95+1604</f>
        <v>1699</v>
      </c>
      <c r="O114" s="213">
        <v>12012</v>
      </c>
      <c r="P114" s="213">
        <v>7501</v>
      </c>
      <c r="Q114" s="213"/>
      <c r="R114" s="213"/>
      <c r="S114" s="213"/>
      <c r="T114" s="213">
        <f>983-308</f>
        <v>675</v>
      </c>
      <c r="U114" s="213">
        <v>5236</v>
      </c>
      <c r="V114" s="213"/>
      <c r="W114" s="213">
        <v>653</v>
      </c>
      <c r="X114" s="213">
        <v>649</v>
      </c>
      <c r="Y114" s="213">
        <f>1873+1635</f>
        <v>3508</v>
      </c>
      <c r="Z114" s="213">
        <v>1555</v>
      </c>
      <c r="AA114" s="213"/>
      <c r="AB114" s="213">
        <v>1149</v>
      </c>
      <c r="AC114" s="213">
        <v>15000</v>
      </c>
      <c r="AD114" s="213"/>
      <c r="AE114" s="213"/>
      <c r="AF114" s="213"/>
      <c r="AG114" s="213"/>
      <c r="AH114" s="213"/>
      <c r="AI114" s="213"/>
      <c r="AJ114" s="213"/>
      <c r="AK114" s="213"/>
      <c r="AL114" s="213">
        <v>172</v>
      </c>
    </row>
    <row r="115" spans="1:38">
      <c r="A115" s="161" t="s">
        <v>1620</v>
      </c>
      <c r="B115" s="233">
        <f>C115+'表七(2)'!B115</f>
        <v>4499125</v>
      </c>
      <c r="C115" s="146">
        <v>4268651</v>
      </c>
      <c r="D115" s="146">
        <v>58046</v>
      </c>
      <c r="E115" s="146">
        <v>565941</v>
      </c>
      <c r="F115" s="146">
        <v>305378</v>
      </c>
      <c r="G115" s="146">
        <v>0</v>
      </c>
      <c r="H115" s="146">
        <v>0</v>
      </c>
      <c r="I115" s="146">
        <v>759</v>
      </c>
      <c r="J115" s="146">
        <v>19803</v>
      </c>
      <c r="K115" s="146">
        <v>110774</v>
      </c>
      <c r="L115" s="146">
        <v>696953</v>
      </c>
      <c r="M115" s="146">
        <v>0</v>
      </c>
      <c r="N115" s="146">
        <v>0</v>
      </c>
      <c r="O115" s="146">
        <v>47712</v>
      </c>
      <c r="P115" s="146">
        <v>542781</v>
      </c>
      <c r="Q115" s="146">
        <v>16363</v>
      </c>
      <c r="R115" s="146">
        <v>0</v>
      </c>
      <c r="S115" s="146">
        <v>1376</v>
      </c>
      <c r="T115" s="146">
        <v>55360</v>
      </c>
      <c r="U115" s="146">
        <v>511917</v>
      </c>
      <c r="V115" s="146">
        <v>275</v>
      </c>
      <c r="W115" s="146">
        <v>12050</v>
      </c>
      <c r="X115" s="146">
        <v>473077</v>
      </c>
      <c r="Y115" s="146">
        <v>371490</v>
      </c>
      <c r="Z115" s="146">
        <v>127828</v>
      </c>
      <c r="AA115" s="146">
        <v>0</v>
      </c>
      <c r="AB115" s="146">
        <v>310432</v>
      </c>
      <c r="AC115" s="146">
        <v>16601</v>
      </c>
      <c r="AD115" s="146">
        <v>0</v>
      </c>
      <c r="AE115" s="146">
        <v>0</v>
      </c>
      <c r="AF115" s="146">
        <v>0</v>
      </c>
      <c r="AG115" s="146">
        <v>0</v>
      </c>
      <c r="AH115" s="146">
        <v>23003</v>
      </c>
      <c r="AI115" s="146">
        <v>0</v>
      </c>
      <c r="AJ115" s="146">
        <v>0</v>
      </c>
      <c r="AK115" s="146">
        <v>229</v>
      </c>
      <c r="AL115" s="146">
        <v>503</v>
      </c>
    </row>
    <row r="116" spans="1:38">
      <c r="A116" s="167" t="s">
        <v>1646</v>
      </c>
      <c r="B116" s="233">
        <f>C116+'表七(2)'!B116</f>
        <v>240394</v>
      </c>
      <c r="C116" s="146">
        <v>230000</v>
      </c>
      <c r="D116" s="146">
        <v>12695</v>
      </c>
      <c r="E116" s="146">
        <v>90679</v>
      </c>
      <c r="F116" s="146">
        <v>0</v>
      </c>
      <c r="G116" s="146">
        <v>0</v>
      </c>
      <c r="H116" s="146">
        <v>0</v>
      </c>
      <c r="I116" s="146">
        <v>759</v>
      </c>
      <c r="J116" s="146">
        <v>0</v>
      </c>
      <c r="K116" s="146">
        <v>0</v>
      </c>
      <c r="L116" s="146">
        <v>60111</v>
      </c>
      <c r="M116" s="146">
        <v>0</v>
      </c>
      <c r="N116" s="146">
        <v>0</v>
      </c>
      <c r="O116" s="146">
        <v>7511</v>
      </c>
      <c r="P116" s="146">
        <v>0</v>
      </c>
      <c r="Q116" s="146">
        <v>3894</v>
      </c>
      <c r="R116" s="146">
        <v>0</v>
      </c>
      <c r="S116" s="146">
        <v>1376</v>
      </c>
      <c r="T116" s="146">
        <v>8755</v>
      </c>
      <c r="U116" s="146">
        <v>16728</v>
      </c>
      <c r="V116" s="146">
        <v>109</v>
      </c>
      <c r="W116" s="146">
        <v>5409</v>
      </c>
      <c r="X116" s="146">
        <v>9318</v>
      </c>
      <c r="Y116" s="146">
        <v>2339</v>
      </c>
      <c r="Z116" s="146">
        <v>10</v>
      </c>
      <c r="AA116" s="146">
        <v>0</v>
      </c>
      <c r="AB116" s="146">
        <v>10078</v>
      </c>
      <c r="AC116" s="146">
        <v>0</v>
      </c>
      <c r="AD116" s="146">
        <v>0</v>
      </c>
      <c r="AE116" s="146">
        <v>0</v>
      </c>
      <c r="AF116" s="146">
        <v>0</v>
      </c>
      <c r="AG116" s="146">
        <v>0</v>
      </c>
      <c r="AH116" s="146">
        <v>0</v>
      </c>
      <c r="AI116" s="146">
        <v>0</v>
      </c>
      <c r="AJ116" s="146">
        <v>0</v>
      </c>
      <c r="AK116" s="146">
        <v>229</v>
      </c>
      <c r="AL116" s="146">
        <v>0</v>
      </c>
    </row>
    <row r="117" spans="1:38">
      <c r="A117" s="167" t="s">
        <v>1194</v>
      </c>
      <c r="B117" s="233">
        <f>C117+'表七(2)'!B117</f>
        <v>4258731</v>
      </c>
      <c r="C117" s="146">
        <v>4038651</v>
      </c>
      <c r="D117" s="146">
        <v>45351</v>
      </c>
      <c r="E117" s="146">
        <v>475262</v>
      </c>
      <c r="F117" s="146">
        <v>305378</v>
      </c>
      <c r="G117" s="146">
        <v>0</v>
      </c>
      <c r="H117" s="146">
        <v>0</v>
      </c>
      <c r="I117" s="146">
        <v>0</v>
      </c>
      <c r="J117" s="146">
        <v>19803</v>
      </c>
      <c r="K117" s="146">
        <v>110774</v>
      </c>
      <c r="L117" s="146">
        <v>636842</v>
      </c>
      <c r="M117" s="146">
        <v>0</v>
      </c>
      <c r="N117" s="146">
        <v>0</v>
      </c>
      <c r="O117" s="146">
        <v>40201</v>
      </c>
      <c r="P117" s="146">
        <v>542781</v>
      </c>
      <c r="Q117" s="146">
        <v>12469</v>
      </c>
      <c r="R117" s="146">
        <v>0</v>
      </c>
      <c r="S117" s="146">
        <v>0</v>
      </c>
      <c r="T117" s="146">
        <v>46605</v>
      </c>
      <c r="U117" s="146">
        <v>495189</v>
      </c>
      <c r="V117" s="146">
        <v>166</v>
      </c>
      <c r="W117" s="146">
        <v>6641</v>
      </c>
      <c r="X117" s="146">
        <v>463759</v>
      </c>
      <c r="Y117" s="146">
        <v>369151</v>
      </c>
      <c r="Z117" s="146">
        <v>127818</v>
      </c>
      <c r="AA117" s="146">
        <v>0</v>
      </c>
      <c r="AB117" s="146">
        <v>300354</v>
      </c>
      <c r="AC117" s="146">
        <v>16601</v>
      </c>
      <c r="AD117" s="146">
        <v>0</v>
      </c>
      <c r="AE117" s="146">
        <v>0</v>
      </c>
      <c r="AF117" s="146">
        <v>0</v>
      </c>
      <c r="AG117" s="146">
        <v>0</v>
      </c>
      <c r="AH117" s="146">
        <v>23003</v>
      </c>
      <c r="AI117" s="146">
        <v>0</v>
      </c>
      <c r="AJ117" s="146">
        <v>0</v>
      </c>
      <c r="AK117" s="146">
        <v>0</v>
      </c>
      <c r="AL117" s="146">
        <v>503</v>
      </c>
    </row>
    <row r="118" spans="1:38">
      <c r="A118" s="167" t="s">
        <v>1621</v>
      </c>
      <c r="B118" s="233">
        <f>C118+'表七(2)'!B118</f>
        <v>390215</v>
      </c>
      <c r="C118" s="146">
        <v>364456</v>
      </c>
      <c r="D118" s="146">
        <v>2536</v>
      </c>
      <c r="E118" s="146">
        <v>40623</v>
      </c>
      <c r="F118" s="146">
        <v>21308</v>
      </c>
      <c r="G118" s="146"/>
      <c r="H118" s="146"/>
      <c r="I118" s="146"/>
      <c r="J118" s="146">
        <v>792</v>
      </c>
      <c r="K118" s="146">
        <v>5248</v>
      </c>
      <c r="L118" s="146">
        <v>70160</v>
      </c>
      <c r="M118" s="146"/>
      <c r="N118" s="146"/>
      <c r="O118" s="146"/>
      <c r="P118" s="146">
        <v>28600</v>
      </c>
      <c r="Q118" s="146">
        <v>1375</v>
      </c>
      <c r="R118" s="146"/>
      <c r="S118" s="146"/>
      <c r="T118" s="146">
        <v>6087</v>
      </c>
      <c r="U118" s="146">
        <v>65452</v>
      </c>
      <c r="V118" s="146">
        <v>5</v>
      </c>
      <c r="W118" s="146">
        <v>415</v>
      </c>
      <c r="X118" s="146">
        <v>50038</v>
      </c>
      <c r="Y118" s="146">
        <v>44853</v>
      </c>
      <c r="Z118" s="146">
        <v>8289</v>
      </c>
      <c r="AA118" s="146"/>
      <c r="AB118" s="146">
        <v>11971</v>
      </c>
      <c r="AC118" s="146">
        <v>1403</v>
      </c>
      <c r="AD118" s="146"/>
      <c r="AE118" s="146"/>
      <c r="AF118" s="146"/>
      <c r="AG118" s="146"/>
      <c r="AH118" s="146">
        <v>5298</v>
      </c>
      <c r="AI118" s="146"/>
      <c r="AJ118" s="146"/>
      <c r="AK118" s="146"/>
      <c r="AL118" s="146">
        <v>3</v>
      </c>
    </row>
    <row r="119" spans="1:38">
      <c r="A119" s="168" t="s">
        <v>1622</v>
      </c>
      <c r="B119" s="233">
        <f>C119+'表七(2)'!B119</f>
        <v>298859</v>
      </c>
      <c r="C119" s="146">
        <v>281203</v>
      </c>
      <c r="D119" s="146">
        <v>5427</v>
      </c>
      <c r="E119" s="146">
        <v>36891</v>
      </c>
      <c r="F119" s="146">
        <v>23096</v>
      </c>
      <c r="G119" s="146"/>
      <c r="H119" s="146"/>
      <c r="I119" s="146"/>
      <c r="J119" s="146">
        <v>2040</v>
      </c>
      <c r="K119" s="146">
        <v>7107</v>
      </c>
      <c r="L119" s="146">
        <v>45616</v>
      </c>
      <c r="M119" s="146"/>
      <c r="N119" s="146"/>
      <c r="O119" s="146"/>
      <c r="P119" s="146">
        <v>32942</v>
      </c>
      <c r="Q119" s="146">
        <v>727</v>
      </c>
      <c r="R119" s="146"/>
      <c r="S119" s="146"/>
      <c r="T119" s="146">
        <v>3251</v>
      </c>
      <c r="U119" s="146">
        <v>30585</v>
      </c>
      <c r="V119" s="146">
        <v>10</v>
      </c>
      <c r="W119" s="146">
        <v>462</v>
      </c>
      <c r="X119" s="146">
        <v>31133</v>
      </c>
      <c r="Y119" s="146">
        <v>23390</v>
      </c>
      <c r="Z119" s="146">
        <v>8556</v>
      </c>
      <c r="AA119" s="146"/>
      <c r="AB119" s="146">
        <v>27081</v>
      </c>
      <c r="AC119" s="146">
        <v>1191</v>
      </c>
      <c r="AD119" s="146"/>
      <c r="AE119" s="146"/>
      <c r="AF119" s="146"/>
      <c r="AG119" s="146"/>
      <c r="AH119" s="146">
        <v>1693</v>
      </c>
      <c r="AI119" s="146"/>
      <c r="AJ119" s="146"/>
      <c r="AK119" s="146"/>
      <c r="AL119" s="146">
        <v>5</v>
      </c>
    </row>
    <row r="120" spans="1:38">
      <c r="A120" s="167" t="s">
        <v>1623</v>
      </c>
      <c r="B120" s="233">
        <f>C120+'表七(2)'!B120</f>
        <v>346406</v>
      </c>
      <c r="C120" s="146">
        <v>330426</v>
      </c>
      <c r="D120" s="146">
        <v>3771</v>
      </c>
      <c r="E120" s="146">
        <v>39065</v>
      </c>
      <c r="F120" s="146">
        <v>29163</v>
      </c>
      <c r="G120" s="146"/>
      <c r="H120" s="146"/>
      <c r="I120" s="146"/>
      <c r="J120" s="146">
        <v>2438</v>
      </c>
      <c r="K120" s="146">
        <v>8050</v>
      </c>
      <c r="L120" s="146">
        <v>48418</v>
      </c>
      <c r="M120" s="146"/>
      <c r="N120" s="146"/>
      <c r="O120" s="146"/>
      <c r="P120" s="146">
        <v>43715</v>
      </c>
      <c r="Q120" s="146">
        <v>879</v>
      </c>
      <c r="R120" s="146"/>
      <c r="S120" s="146"/>
      <c r="T120" s="146">
        <v>3525</v>
      </c>
      <c r="U120" s="146">
        <v>40515</v>
      </c>
      <c r="V120" s="146">
        <v>12</v>
      </c>
      <c r="W120" s="146">
        <v>563</v>
      </c>
      <c r="X120" s="146">
        <v>37565</v>
      </c>
      <c r="Y120" s="146">
        <v>31433</v>
      </c>
      <c r="Z120" s="146">
        <v>8816</v>
      </c>
      <c r="AA120" s="146"/>
      <c r="AB120" s="146">
        <v>30086</v>
      </c>
      <c r="AC120" s="146">
        <v>1424</v>
      </c>
      <c r="AD120" s="146"/>
      <c r="AE120" s="146"/>
      <c r="AF120" s="146"/>
      <c r="AG120" s="146"/>
      <c r="AH120" s="146">
        <v>981</v>
      </c>
      <c r="AI120" s="146"/>
      <c r="AJ120" s="146"/>
      <c r="AK120" s="146"/>
      <c r="AL120" s="146">
        <v>7</v>
      </c>
    </row>
    <row r="121" spans="1:38">
      <c r="A121" s="168" t="s">
        <v>1624</v>
      </c>
      <c r="B121" s="233">
        <f>C121+'表七(2)'!B121</f>
        <v>313844</v>
      </c>
      <c r="C121" s="146">
        <v>297237</v>
      </c>
      <c r="D121" s="146">
        <v>3364</v>
      </c>
      <c r="E121" s="146">
        <v>33679</v>
      </c>
      <c r="F121" s="146">
        <v>26835</v>
      </c>
      <c r="G121" s="146"/>
      <c r="H121" s="146"/>
      <c r="I121" s="146"/>
      <c r="J121" s="146">
        <v>1900</v>
      </c>
      <c r="K121" s="146">
        <v>10549</v>
      </c>
      <c r="L121" s="146">
        <v>39204</v>
      </c>
      <c r="M121" s="146"/>
      <c r="N121" s="146"/>
      <c r="O121" s="146"/>
      <c r="P121" s="146">
        <v>50972</v>
      </c>
      <c r="Q121" s="146">
        <v>683</v>
      </c>
      <c r="R121" s="146"/>
      <c r="S121" s="146"/>
      <c r="T121" s="146">
        <v>3214</v>
      </c>
      <c r="U121" s="146">
        <v>31781</v>
      </c>
      <c r="V121" s="146">
        <v>9</v>
      </c>
      <c r="W121" s="146">
        <v>511</v>
      </c>
      <c r="X121" s="146">
        <v>37888</v>
      </c>
      <c r="Y121" s="146">
        <v>25009</v>
      </c>
      <c r="Z121" s="146">
        <v>9813</v>
      </c>
      <c r="AA121" s="146"/>
      <c r="AB121" s="146">
        <v>19155</v>
      </c>
      <c r="AC121" s="146">
        <v>818</v>
      </c>
      <c r="AD121" s="146"/>
      <c r="AE121" s="146"/>
      <c r="AF121" s="146"/>
      <c r="AG121" s="146"/>
      <c r="AH121" s="146">
        <v>1847</v>
      </c>
      <c r="AI121" s="146"/>
      <c r="AJ121" s="146"/>
      <c r="AK121" s="146"/>
      <c r="AL121" s="146">
        <v>6</v>
      </c>
    </row>
    <row r="122" spans="1:38">
      <c r="A122" s="168" t="s">
        <v>1625</v>
      </c>
      <c r="B122" s="233">
        <f>C122+'表七(2)'!B122</f>
        <v>188621</v>
      </c>
      <c r="C122" s="146">
        <v>180935</v>
      </c>
      <c r="D122" s="146">
        <v>2037</v>
      </c>
      <c r="E122" s="146">
        <v>24236</v>
      </c>
      <c r="F122" s="146">
        <v>14859</v>
      </c>
      <c r="G122" s="146"/>
      <c r="H122" s="146"/>
      <c r="I122" s="146"/>
      <c r="J122" s="146">
        <v>329</v>
      </c>
      <c r="K122" s="146">
        <v>5572</v>
      </c>
      <c r="L122" s="146">
        <v>34408</v>
      </c>
      <c r="M122" s="146"/>
      <c r="N122" s="146"/>
      <c r="O122" s="146"/>
      <c r="P122" s="146">
        <v>18052</v>
      </c>
      <c r="Q122" s="146">
        <v>744</v>
      </c>
      <c r="R122" s="146"/>
      <c r="S122" s="146"/>
      <c r="T122" s="146">
        <v>2754</v>
      </c>
      <c r="U122" s="146">
        <v>19687</v>
      </c>
      <c r="V122" s="146">
        <v>8</v>
      </c>
      <c r="W122" s="146">
        <v>417</v>
      </c>
      <c r="X122" s="146">
        <v>21028</v>
      </c>
      <c r="Y122" s="146">
        <v>18070</v>
      </c>
      <c r="Z122" s="146">
        <v>5199</v>
      </c>
      <c r="AA122" s="146"/>
      <c r="AB122" s="146">
        <v>11521</v>
      </c>
      <c r="AC122" s="146">
        <v>856</v>
      </c>
      <c r="AD122" s="146"/>
      <c r="AE122" s="146"/>
      <c r="AF122" s="146"/>
      <c r="AG122" s="146"/>
      <c r="AH122" s="146">
        <v>1156</v>
      </c>
      <c r="AI122" s="146"/>
      <c r="AJ122" s="146"/>
      <c r="AK122" s="146"/>
      <c r="AL122" s="146">
        <v>2</v>
      </c>
    </row>
    <row r="123" spans="1:38">
      <c r="A123" s="167" t="s">
        <v>1626</v>
      </c>
      <c r="B123" s="233">
        <f>C123+'表七(2)'!B123</f>
        <v>825993</v>
      </c>
      <c r="C123" s="146">
        <v>773222</v>
      </c>
      <c r="D123" s="146">
        <v>6208</v>
      </c>
      <c r="E123" s="146">
        <v>91739</v>
      </c>
      <c r="F123" s="146">
        <v>52922</v>
      </c>
      <c r="G123" s="146"/>
      <c r="H123" s="146"/>
      <c r="I123" s="146"/>
      <c r="J123" s="146">
        <v>3726</v>
      </c>
      <c r="K123" s="146">
        <v>15737</v>
      </c>
      <c r="L123" s="146">
        <v>113299</v>
      </c>
      <c r="M123" s="146"/>
      <c r="N123" s="146"/>
      <c r="O123" s="146"/>
      <c r="P123" s="146">
        <v>136497</v>
      </c>
      <c r="Q123" s="146">
        <v>2264</v>
      </c>
      <c r="R123" s="146"/>
      <c r="S123" s="146"/>
      <c r="T123" s="146">
        <v>7936</v>
      </c>
      <c r="U123" s="146">
        <v>102437</v>
      </c>
      <c r="V123" s="146">
        <v>25</v>
      </c>
      <c r="W123" s="146">
        <v>1133</v>
      </c>
      <c r="X123" s="146">
        <v>89758</v>
      </c>
      <c r="Y123" s="146">
        <v>73414</v>
      </c>
      <c r="Z123" s="146">
        <v>23594</v>
      </c>
      <c r="AA123" s="146"/>
      <c r="AB123" s="146">
        <v>44134</v>
      </c>
      <c r="AC123" s="146">
        <v>3518</v>
      </c>
      <c r="AD123" s="146"/>
      <c r="AE123" s="146"/>
      <c r="AF123" s="146"/>
      <c r="AG123" s="146"/>
      <c r="AH123" s="146">
        <v>4872</v>
      </c>
      <c r="AI123" s="146"/>
      <c r="AJ123" s="146"/>
      <c r="AK123" s="146"/>
      <c r="AL123" s="146">
        <v>9</v>
      </c>
    </row>
    <row r="124" spans="1:38">
      <c r="A124" s="167" t="s">
        <v>1627</v>
      </c>
      <c r="B124" s="233">
        <f>C124+'表七(2)'!B124</f>
        <v>542392</v>
      </c>
      <c r="C124" s="146">
        <v>522004</v>
      </c>
      <c r="D124" s="146">
        <v>4725</v>
      </c>
      <c r="E124" s="146">
        <v>55840</v>
      </c>
      <c r="F124" s="146">
        <v>37530</v>
      </c>
      <c r="G124" s="146"/>
      <c r="H124" s="146"/>
      <c r="I124" s="146"/>
      <c r="J124" s="146">
        <v>3101</v>
      </c>
      <c r="K124" s="146">
        <v>11834</v>
      </c>
      <c r="L124" s="146">
        <v>98498</v>
      </c>
      <c r="M124" s="146"/>
      <c r="N124" s="146"/>
      <c r="O124" s="146">
        <v>13674</v>
      </c>
      <c r="P124" s="146">
        <v>70450</v>
      </c>
      <c r="Q124" s="146">
        <v>2117</v>
      </c>
      <c r="R124" s="146"/>
      <c r="S124" s="146"/>
      <c r="T124" s="146">
        <v>5629</v>
      </c>
      <c r="U124" s="146">
        <v>63581</v>
      </c>
      <c r="V124" s="146">
        <v>49</v>
      </c>
      <c r="W124" s="146">
        <v>774</v>
      </c>
      <c r="X124" s="146">
        <v>63549</v>
      </c>
      <c r="Y124" s="146">
        <v>47754</v>
      </c>
      <c r="Z124" s="146">
        <v>15318</v>
      </c>
      <c r="AA124" s="146"/>
      <c r="AB124" s="146">
        <v>24220</v>
      </c>
      <c r="AC124" s="146">
        <v>2333</v>
      </c>
      <c r="AD124" s="146"/>
      <c r="AE124" s="146"/>
      <c r="AF124" s="146"/>
      <c r="AG124" s="146"/>
      <c r="AH124" s="146">
        <v>575</v>
      </c>
      <c r="AI124" s="146"/>
      <c r="AJ124" s="146"/>
      <c r="AK124" s="146"/>
      <c r="AL124" s="146">
        <v>453</v>
      </c>
    </row>
    <row r="125" spans="1:38">
      <c r="A125" s="168" t="s">
        <v>1628</v>
      </c>
      <c r="B125" s="233">
        <f>C125+'表七(2)'!B125</f>
        <v>235699</v>
      </c>
      <c r="C125" s="146">
        <v>226348</v>
      </c>
      <c r="D125" s="146">
        <v>2876</v>
      </c>
      <c r="E125" s="146">
        <v>27755</v>
      </c>
      <c r="F125" s="146">
        <v>17773</v>
      </c>
      <c r="G125" s="146"/>
      <c r="H125" s="146"/>
      <c r="I125" s="146"/>
      <c r="J125" s="146">
        <v>686</v>
      </c>
      <c r="K125" s="146">
        <v>9495</v>
      </c>
      <c r="L125" s="146">
        <v>36047</v>
      </c>
      <c r="M125" s="146"/>
      <c r="N125" s="146"/>
      <c r="O125" s="146"/>
      <c r="P125" s="146">
        <v>20823</v>
      </c>
      <c r="Q125" s="146">
        <v>775</v>
      </c>
      <c r="R125" s="146"/>
      <c r="S125" s="146"/>
      <c r="T125" s="146">
        <v>2982</v>
      </c>
      <c r="U125" s="146">
        <v>23914</v>
      </c>
      <c r="V125" s="146">
        <v>9</v>
      </c>
      <c r="W125" s="146">
        <v>464</v>
      </c>
      <c r="X125" s="146">
        <v>21989</v>
      </c>
      <c r="Y125" s="146">
        <v>19568</v>
      </c>
      <c r="Z125" s="146">
        <v>11599</v>
      </c>
      <c r="AA125" s="146"/>
      <c r="AB125" s="146">
        <v>27311</v>
      </c>
      <c r="AC125" s="146">
        <v>901</v>
      </c>
      <c r="AD125" s="146"/>
      <c r="AE125" s="146"/>
      <c r="AF125" s="146"/>
      <c r="AG125" s="146"/>
      <c r="AH125" s="146">
        <v>1378</v>
      </c>
      <c r="AI125" s="146"/>
      <c r="AJ125" s="146"/>
      <c r="AK125" s="146"/>
      <c r="AL125" s="146">
        <v>3</v>
      </c>
    </row>
    <row r="126" spans="1:38">
      <c r="A126" s="168" t="s">
        <v>1629</v>
      </c>
      <c r="B126" s="233">
        <f>C126+'表七(2)'!B126</f>
        <v>202348</v>
      </c>
      <c r="C126" s="146">
        <v>190892</v>
      </c>
      <c r="D126" s="146">
        <v>3987</v>
      </c>
      <c r="E126" s="146">
        <v>22984</v>
      </c>
      <c r="F126" s="146">
        <v>17872</v>
      </c>
      <c r="G126" s="146"/>
      <c r="H126" s="146"/>
      <c r="I126" s="146"/>
      <c r="J126" s="146">
        <v>697</v>
      </c>
      <c r="K126" s="146">
        <v>8286</v>
      </c>
      <c r="L126" s="146">
        <v>29229</v>
      </c>
      <c r="M126" s="146"/>
      <c r="N126" s="146"/>
      <c r="O126" s="146"/>
      <c r="P126" s="146">
        <v>22937</v>
      </c>
      <c r="Q126" s="146">
        <v>690</v>
      </c>
      <c r="R126" s="146"/>
      <c r="S126" s="146"/>
      <c r="T126" s="146">
        <v>2108</v>
      </c>
      <c r="U126" s="146">
        <v>18132</v>
      </c>
      <c r="V126" s="146">
        <v>9</v>
      </c>
      <c r="W126" s="146">
        <v>407</v>
      </c>
      <c r="X126" s="146">
        <v>20485</v>
      </c>
      <c r="Y126" s="146">
        <v>14382</v>
      </c>
      <c r="Z126" s="146">
        <v>6500</v>
      </c>
      <c r="AA126" s="146"/>
      <c r="AB126" s="146">
        <v>19379</v>
      </c>
      <c r="AC126" s="146">
        <v>881</v>
      </c>
      <c r="AD126" s="146"/>
      <c r="AE126" s="146"/>
      <c r="AF126" s="146"/>
      <c r="AG126" s="146"/>
      <c r="AH126" s="146">
        <v>1924</v>
      </c>
      <c r="AI126" s="146"/>
      <c r="AJ126" s="146"/>
      <c r="AK126" s="146"/>
      <c r="AL126" s="146">
        <v>3</v>
      </c>
    </row>
    <row r="127" spans="1:38">
      <c r="A127" s="168" t="s">
        <v>1630</v>
      </c>
      <c r="B127" s="233">
        <f>C127+'表七(2)'!B127</f>
        <v>422897</v>
      </c>
      <c r="C127" s="146">
        <v>407213</v>
      </c>
      <c r="D127" s="146">
        <v>4679</v>
      </c>
      <c r="E127" s="146">
        <v>44160</v>
      </c>
      <c r="F127" s="146">
        <v>32023</v>
      </c>
      <c r="G127" s="146"/>
      <c r="H127" s="146"/>
      <c r="I127" s="146"/>
      <c r="J127" s="146">
        <v>2225</v>
      </c>
      <c r="K127" s="146">
        <v>11461</v>
      </c>
      <c r="L127" s="146">
        <v>50820</v>
      </c>
      <c r="M127" s="146"/>
      <c r="N127" s="146"/>
      <c r="O127" s="146"/>
      <c r="P127" s="146">
        <v>72257</v>
      </c>
      <c r="Q127" s="146">
        <v>988</v>
      </c>
      <c r="R127" s="146"/>
      <c r="S127" s="146"/>
      <c r="T127" s="146">
        <v>4414</v>
      </c>
      <c r="U127" s="146">
        <v>53822</v>
      </c>
      <c r="V127" s="146">
        <v>12</v>
      </c>
      <c r="W127" s="146">
        <v>582</v>
      </c>
      <c r="X127" s="146">
        <v>42438</v>
      </c>
      <c r="Y127" s="146">
        <v>36558</v>
      </c>
      <c r="Z127" s="146">
        <v>15144</v>
      </c>
      <c r="AA127" s="146"/>
      <c r="AB127" s="146">
        <v>33243</v>
      </c>
      <c r="AC127" s="146">
        <v>1819</v>
      </c>
      <c r="AD127" s="146"/>
      <c r="AE127" s="146"/>
      <c r="AF127" s="146"/>
      <c r="AG127" s="146"/>
      <c r="AH127" s="146">
        <v>562</v>
      </c>
      <c r="AI127" s="146"/>
      <c r="AJ127" s="146"/>
      <c r="AK127" s="146"/>
      <c r="AL127" s="146">
        <v>6</v>
      </c>
    </row>
    <row r="128" spans="1:38">
      <c r="A128" s="168" t="s">
        <v>1631</v>
      </c>
      <c r="B128" s="233">
        <f>C128+'表七(2)'!B128</f>
        <v>366209</v>
      </c>
      <c r="C128" s="146">
        <v>343993</v>
      </c>
      <c r="D128" s="146">
        <v>3367</v>
      </c>
      <c r="E128" s="146">
        <v>44488</v>
      </c>
      <c r="F128" s="146">
        <v>22691</v>
      </c>
      <c r="G128" s="146"/>
      <c r="H128" s="146"/>
      <c r="I128" s="146"/>
      <c r="J128" s="146">
        <v>1534</v>
      </c>
      <c r="K128" s="146">
        <v>11360</v>
      </c>
      <c r="L128" s="146">
        <v>46748</v>
      </c>
      <c r="M128" s="146"/>
      <c r="N128" s="146"/>
      <c r="O128" s="146"/>
      <c r="P128" s="146">
        <v>33755</v>
      </c>
      <c r="Q128" s="146">
        <v>964</v>
      </c>
      <c r="R128" s="146"/>
      <c r="S128" s="146"/>
      <c r="T128" s="146">
        <v>3976</v>
      </c>
      <c r="U128" s="146">
        <v>40637</v>
      </c>
      <c r="V128" s="146">
        <v>12</v>
      </c>
      <c r="W128" s="146">
        <v>518</v>
      </c>
      <c r="X128" s="146">
        <v>41626</v>
      </c>
      <c r="Y128" s="146">
        <v>31253</v>
      </c>
      <c r="Z128" s="146">
        <v>13432</v>
      </c>
      <c r="AA128" s="146"/>
      <c r="AB128" s="146">
        <v>44112</v>
      </c>
      <c r="AC128" s="146">
        <v>1285</v>
      </c>
      <c r="AD128" s="146"/>
      <c r="AE128" s="146"/>
      <c r="AF128" s="146"/>
      <c r="AG128" s="146"/>
      <c r="AH128" s="146">
        <v>2231</v>
      </c>
      <c r="AI128" s="146"/>
      <c r="AJ128" s="146"/>
      <c r="AK128" s="146"/>
      <c r="AL128" s="146">
        <v>4</v>
      </c>
    </row>
    <row r="129" spans="1:38">
      <c r="A129" s="168" t="s">
        <v>1632</v>
      </c>
      <c r="B129" s="233">
        <f>C129+'表七(2)'!B129</f>
        <v>125248</v>
      </c>
      <c r="C129" s="146">
        <v>120722</v>
      </c>
      <c r="D129" s="146">
        <v>2374</v>
      </c>
      <c r="E129" s="146">
        <v>13802</v>
      </c>
      <c r="F129" s="146">
        <v>9306</v>
      </c>
      <c r="G129" s="146"/>
      <c r="H129" s="146"/>
      <c r="I129" s="146"/>
      <c r="J129" s="146">
        <v>335</v>
      </c>
      <c r="K129" s="146">
        <v>6075</v>
      </c>
      <c r="L129" s="146">
        <v>24395</v>
      </c>
      <c r="M129" s="146"/>
      <c r="N129" s="146"/>
      <c r="O129" s="146">
        <v>26527</v>
      </c>
      <c r="P129" s="146">
        <v>11781</v>
      </c>
      <c r="Q129" s="146">
        <v>263</v>
      </c>
      <c r="R129" s="146"/>
      <c r="S129" s="146"/>
      <c r="T129" s="146">
        <v>729</v>
      </c>
      <c r="U129" s="146">
        <v>4646</v>
      </c>
      <c r="V129" s="146">
        <v>6</v>
      </c>
      <c r="W129" s="146">
        <v>395</v>
      </c>
      <c r="X129" s="146">
        <v>6262</v>
      </c>
      <c r="Y129" s="146">
        <v>3467</v>
      </c>
      <c r="Z129" s="146">
        <v>1558</v>
      </c>
      <c r="AA129" s="146"/>
      <c r="AB129" s="146">
        <v>8141</v>
      </c>
      <c r="AC129" s="146">
        <v>172</v>
      </c>
      <c r="AD129" s="146"/>
      <c r="AE129" s="146"/>
      <c r="AF129" s="146"/>
      <c r="AG129" s="146"/>
      <c r="AH129" s="146">
        <v>486</v>
      </c>
      <c r="AI129" s="146"/>
      <c r="AJ129" s="146"/>
      <c r="AK129" s="146"/>
      <c r="AL129" s="146">
        <v>2</v>
      </c>
    </row>
    <row r="130" spans="1:38" s="150" customFormat="1" ht="17.25" customHeight="1">
      <c r="A130" s="162" t="s">
        <v>1667</v>
      </c>
      <c r="B130" s="233">
        <f>C130+'表七(2)'!B130</f>
        <v>3021096</v>
      </c>
      <c r="C130" s="215">
        <v>2841656</v>
      </c>
      <c r="D130" s="215">
        <v>37188</v>
      </c>
      <c r="E130" s="215">
        <v>371490</v>
      </c>
      <c r="F130" s="215">
        <v>203171</v>
      </c>
      <c r="G130" s="215">
        <v>0</v>
      </c>
      <c r="H130" s="215">
        <v>0</v>
      </c>
      <c r="I130" s="215">
        <v>0</v>
      </c>
      <c r="J130" s="215">
        <v>10848</v>
      </c>
      <c r="K130" s="215">
        <v>74432</v>
      </c>
      <c r="L130" s="215">
        <v>410675</v>
      </c>
      <c r="M130" s="215">
        <v>0</v>
      </c>
      <c r="N130" s="215">
        <v>0</v>
      </c>
      <c r="O130" s="215">
        <v>18749</v>
      </c>
      <c r="P130" s="215">
        <v>434915</v>
      </c>
      <c r="Q130" s="215">
        <v>11879</v>
      </c>
      <c r="R130" s="215">
        <v>0</v>
      </c>
      <c r="S130" s="215">
        <v>1288</v>
      </c>
      <c r="T130" s="215">
        <v>32982</v>
      </c>
      <c r="U130" s="215">
        <v>294633</v>
      </c>
      <c r="V130" s="215">
        <v>215</v>
      </c>
      <c r="W130" s="215">
        <v>6442</v>
      </c>
      <c r="X130" s="215">
        <v>284624</v>
      </c>
      <c r="Y130" s="215">
        <v>205454</v>
      </c>
      <c r="Z130" s="215">
        <v>68105</v>
      </c>
      <c r="AA130" s="215">
        <v>0</v>
      </c>
      <c r="AB130" s="215">
        <v>152398</v>
      </c>
      <c r="AC130" s="215">
        <v>185611</v>
      </c>
      <c r="AD130" s="215">
        <v>0</v>
      </c>
      <c r="AE130" s="215">
        <v>0</v>
      </c>
      <c r="AF130" s="215">
        <v>0</v>
      </c>
      <c r="AG130" s="215">
        <v>0</v>
      </c>
      <c r="AH130" s="215">
        <v>35266</v>
      </c>
      <c r="AI130" s="215">
        <v>0</v>
      </c>
      <c r="AJ130" s="215">
        <v>0</v>
      </c>
      <c r="AK130" s="215">
        <v>0</v>
      </c>
      <c r="AL130" s="215">
        <v>1291</v>
      </c>
    </row>
    <row r="131" spans="1:38" s="150" customFormat="1" ht="17.25" customHeight="1">
      <c r="A131" s="168" t="s">
        <v>1674</v>
      </c>
      <c r="B131" s="233">
        <f>C131+'表七(2)'!B131</f>
        <v>406009</v>
      </c>
      <c r="C131" s="215">
        <v>404062</v>
      </c>
      <c r="D131" s="216">
        <v>8313</v>
      </c>
      <c r="E131" s="216">
        <v>55565</v>
      </c>
      <c r="F131" s="216">
        <v>277</v>
      </c>
      <c r="G131" s="216"/>
      <c r="H131" s="216"/>
      <c r="I131" s="216"/>
      <c r="J131" s="216"/>
      <c r="K131" s="216"/>
      <c r="L131" s="216">
        <v>49879</v>
      </c>
      <c r="M131" s="216"/>
      <c r="N131" s="216"/>
      <c r="O131" s="216">
        <v>3477</v>
      </c>
      <c r="P131" s="216"/>
      <c r="Q131" s="216">
        <v>9893</v>
      </c>
      <c r="R131" s="216"/>
      <c r="S131" s="216">
        <v>1288</v>
      </c>
      <c r="T131" s="216">
        <v>5593</v>
      </c>
      <c r="U131" s="216">
        <v>24949</v>
      </c>
      <c r="V131" s="216">
        <v>65</v>
      </c>
      <c r="W131" s="216">
        <v>476</v>
      </c>
      <c r="X131" s="216">
        <v>53428</v>
      </c>
      <c r="Y131" s="216">
        <v>50</v>
      </c>
      <c r="Z131" s="216">
        <v>712</v>
      </c>
      <c r="AA131" s="216"/>
      <c r="AB131" s="216">
        <v>4486</v>
      </c>
      <c r="AC131" s="216">
        <v>185611</v>
      </c>
      <c r="AD131" s="216"/>
      <c r="AE131" s="216"/>
      <c r="AF131" s="216"/>
      <c r="AG131" s="216"/>
      <c r="AH131" s="216">
        <v>0</v>
      </c>
      <c r="AI131" s="216"/>
      <c r="AJ131" s="216"/>
      <c r="AK131" s="216"/>
      <c r="AL131" s="216"/>
    </row>
    <row r="132" spans="1:38" s="150" customFormat="1" ht="17.25" customHeight="1">
      <c r="A132" s="168" t="s">
        <v>1194</v>
      </c>
      <c r="B132" s="233">
        <f>C132+'表七(2)'!B132</f>
        <v>2615087</v>
      </c>
      <c r="C132" s="215">
        <v>2437594</v>
      </c>
      <c r="D132" s="216">
        <v>28875</v>
      </c>
      <c r="E132" s="216">
        <v>315925</v>
      </c>
      <c r="F132" s="216">
        <v>202894</v>
      </c>
      <c r="G132" s="216">
        <v>0</v>
      </c>
      <c r="H132" s="216">
        <v>0</v>
      </c>
      <c r="I132" s="216">
        <v>0</v>
      </c>
      <c r="J132" s="216">
        <v>10848</v>
      </c>
      <c r="K132" s="216">
        <v>74432</v>
      </c>
      <c r="L132" s="216">
        <v>360796</v>
      </c>
      <c r="M132" s="216">
        <v>0</v>
      </c>
      <c r="N132" s="216">
        <v>0</v>
      </c>
      <c r="O132" s="216">
        <v>15272</v>
      </c>
      <c r="P132" s="216">
        <v>434915</v>
      </c>
      <c r="Q132" s="216">
        <v>1986</v>
      </c>
      <c r="R132" s="216">
        <v>0</v>
      </c>
      <c r="S132" s="216">
        <v>0</v>
      </c>
      <c r="T132" s="216">
        <v>27389</v>
      </c>
      <c r="U132" s="216">
        <v>269684</v>
      </c>
      <c r="V132" s="216">
        <v>150</v>
      </c>
      <c r="W132" s="216">
        <v>5966</v>
      </c>
      <c r="X132" s="216">
        <v>231196</v>
      </c>
      <c r="Y132" s="216">
        <v>205404</v>
      </c>
      <c r="Z132" s="216">
        <v>67393</v>
      </c>
      <c r="AA132" s="216">
        <v>0</v>
      </c>
      <c r="AB132" s="216">
        <v>147912</v>
      </c>
      <c r="AC132" s="216">
        <v>0</v>
      </c>
      <c r="AD132" s="216">
        <v>0</v>
      </c>
      <c r="AE132" s="216">
        <v>0</v>
      </c>
      <c r="AF132" s="216">
        <v>0</v>
      </c>
      <c r="AG132" s="216">
        <v>0</v>
      </c>
      <c r="AH132" s="216">
        <v>35266</v>
      </c>
      <c r="AI132" s="216">
        <v>0</v>
      </c>
      <c r="AJ132" s="216">
        <v>0</v>
      </c>
      <c r="AK132" s="216">
        <v>0</v>
      </c>
      <c r="AL132" s="216">
        <v>1291</v>
      </c>
    </row>
    <row r="133" spans="1:38" s="150" customFormat="1" ht="17.25" customHeight="1">
      <c r="A133" s="167" t="s">
        <v>1633</v>
      </c>
      <c r="B133" s="233">
        <f>C133+'表七(2)'!B133</f>
        <v>278389</v>
      </c>
      <c r="C133" s="215">
        <v>273490</v>
      </c>
      <c r="D133" s="216">
        <v>1475</v>
      </c>
      <c r="E133" s="216">
        <v>34342</v>
      </c>
      <c r="F133" s="216">
        <v>23032</v>
      </c>
      <c r="G133" s="216"/>
      <c r="H133" s="216"/>
      <c r="I133" s="216"/>
      <c r="J133" s="216">
        <v>1301</v>
      </c>
      <c r="K133" s="216">
        <v>5984</v>
      </c>
      <c r="L133" s="216">
        <v>51646</v>
      </c>
      <c r="M133" s="216"/>
      <c r="N133" s="216"/>
      <c r="O133" s="216"/>
      <c r="P133" s="216">
        <v>32936</v>
      </c>
      <c r="Q133" s="216">
        <v>249</v>
      </c>
      <c r="R133" s="216"/>
      <c r="S133" s="216"/>
      <c r="T133" s="216">
        <v>4336</v>
      </c>
      <c r="U133" s="216">
        <v>30827</v>
      </c>
      <c r="V133" s="216">
        <v>20</v>
      </c>
      <c r="W133" s="216">
        <v>711</v>
      </c>
      <c r="X133" s="216">
        <v>29304</v>
      </c>
      <c r="Y133" s="216">
        <v>30124</v>
      </c>
      <c r="Z133" s="216">
        <v>5965</v>
      </c>
      <c r="AA133" s="216"/>
      <c r="AB133" s="216">
        <v>12380</v>
      </c>
      <c r="AC133" s="216"/>
      <c r="AD133" s="216"/>
      <c r="AE133" s="216"/>
      <c r="AF133" s="216"/>
      <c r="AG133" s="216"/>
      <c r="AH133" s="216">
        <v>8852</v>
      </c>
      <c r="AI133" s="216"/>
      <c r="AJ133" s="216"/>
      <c r="AK133" s="216"/>
      <c r="AL133" s="216">
        <v>6</v>
      </c>
    </row>
    <row r="134" spans="1:38" s="150" customFormat="1" ht="17.25" customHeight="1">
      <c r="A134" s="167" t="s">
        <v>1634</v>
      </c>
      <c r="B134" s="233">
        <f>C134+'表七(2)'!B134</f>
        <v>365072</v>
      </c>
      <c r="C134" s="215">
        <v>337712</v>
      </c>
      <c r="D134" s="216">
        <v>4187</v>
      </c>
      <c r="E134" s="216">
        <v>43854</v>
      </c>
      <c r="F134" s="216">
        <v>29173</v>
      </c>
      <c r="G134" s="216"/>
      <c r="H134" s="216"/>
      <c r="I134" s="216"/>
      <c r="J134" s="216">
        <v>1660</v>
      </c>
      <c r="K134" s="216">
        <v>7939</v>
      </c>
      <c r="L134" s="216">
        <v>47844</v>
      </c>
      <c r="M134" s="216"/>
      <c r="N134" s="216"/>
      <c r="O134" s="216">
        <v>8054</v>
      </c>
      <c r="P134" s="216">
        <v>47854</v>
      </c>
      <c r="Q134" s="216">
        <v>223</v>
      </c>
      <c r="R134" s="216"/>
      <c r="S134" s="216"/>
      <c r="T134" s="216">
        <v>3591</v>
      </c>
      <c r="U134" s="216">
        <v>38209</v>
      </c>
      <c r="V134" s="216">
        <v>20</v>
      </c>
      <c r="W134" s="216">
        <v>749</v>
      </c>
      <c r="X134" s="216">
        <v>33538</v>
      </c>
      <c r="Y134" s="216">
        <v>32640</v>
      </c>
      <c r="Z134" s="216">
        <v>9851</v>
      </c>
      <c r="AA134" s="216"/>
      <c r="AB134" s="216">
        <v>25453</v>
      </c>
      <c r="AC134" s="216"/>
      <c r="AD134" s="216"/>
      <c r="AE134" s="216"/>
      <c r="AF134" s="216"/>
      <c r="AG134" s="216"/>
      <c r="AH134" s="216">
        <v>2866</v>
      </c>
      <c r="AI134" s="216"/>
      <c r="AJ134" s="216"/>
      <c r="AK134" s="216"/>
      <c r="AL134" s="216">
        <v>7</v>
      </c>
    </row>
    <row r="135" spans="1:38" s="150" customFormat="1" ht="17.25" customHeight="1">
      <c r="A135" s="167" t="s">
        <v>1635</v>
      </c>
      <c r="B135" s="233">
        <f>C135+'表七(2)'!B135</f>
        <v>621629</v>
      </c>
      <c r="C135" s="215">
        <v>574834</v>
      </c>
      <c r="D135" s="216">
        <v>5761</v>
      </c>
      <c r="E135" s="216">
        <v>68843</v>
      </c>
      <c r="F135" s="216">
        <v>48566</v>
      </c>
      <c r="G135" s="216"/>
      <c r="H135" s="216"/>
      <c r="I135" s="216"/>
      <c r="J135" s="216">
        <v>3262</v>
      </c>
      <c r="K135" s="216">
        <v>14890</v>
      </c>
      <c r="L135" s="216">
        <v>77761</v>
      </c>
      <c r="M135" s="216"/>
      <c r="N135" s="216"/>
      <c r="O135" s="216"/>
      <c r="P135" s="216">
        <v>125384</v>
      </c>
      <c r="Q135" s="216">
        <v>411</v>
      </c>
      <c r="R135" s="216"/>
      <c r="S135" s="216"/>
      <c r="T135" s="216">
        <v>5712</v>
      </c>
      <c r="U135" s="216">
        <v>61291</v>
      </c>
      <c r="V135" s="216">
        <v>20</v>
      </c>
      <c r="W135" s="216">
        <v>853</v>
      </c>
      <c r="X135" s="216">
        <v>52197</v>
      </c>
      <c r="Y135" s="216">
        <v>50474</v>
      </c>
      <c r="Z135" s="216">
        <v>16381</v>
      </c>
      <c r="AA135" s="216"/>
      <c r="AB135" s="216">
        <v>34351</v>
      </c>
      <c r="AC135" s="216"/>
      <c r="AD135" s="216"/>
      <c r="AE135" s="216"/>
      <c r="AF135" s="216"/>
      <c r="AG135" s="216"/>
      <c r="AH135" s="216">
        <v>8666</v>
      </c>
      <c r="AI135" s="216"/>
      <c r="AJ135" s="216"/>
      <c r="AK135" s="216"/>
      <c r="AL135" s="216">
        <v>11</v>
      </c>
    </row>
    <row r="136" spans="1:38" s="150" customFormat="1" ht="17.25" customHeight="1">
      <c r="A136" s="167" t="s">
        <v>1636</v>
      </c>
      <c r="B136" s="233">
        <f>C136+'表七(2)'!B136</f>
        <v>364836</v>
      </c>
      <c r="C136" s="215">
        <v>338940</v>
      </c>
      <c r="D136" s="216">
        <v>4091</v>
      </c>
      <c r="E136" s="216">
        <v>40810</v>
      </c>
      <c r="F136" s="216">
        <v>26726</v>
      </c>
      <c r="G136" s="216"/>
      <c r="H136" s="216"/>
      <c r="I136" s="216"/>
      <c r="J136" s="216">
        <v>1252</v>
      </c>
      <c r="K136" s="216">
        <v>11054</v>
      </c>
      <c r="L136" s="216">
        <v>41641</v>
      </c>
      <c r="M136" s="216"/>
      <c r="N136" s="216"/>
      <c r="O136" s="216">
        <v>7218</v>
      </c>
      <c r="P136" s="216">
        <v>64978</v>
      </c>
      <c r="Q136" s="216">
        <v>310</v>
      </c>
      <c r="R136" s="216"/>
      <c r="S136" s="216"/>
      <c r="T136" s="216">
        <v>3626</v>
      </c>
      <c r="U136" s="216">
        <v>44947</v>
      </c>
      <c r="V136" s="216">
        <v>20</v>
      </c>
      <c r="W136" s="216">
        <v>843</v>
      </c>
      <c r="X136" s="216">
        <v>35329</v>
      </c>
      <c r="Y136" s="216">
        <v>24950</v>
      </c>
      <c r="Z136" s="216">
        <v>9204</v>
      </c>
      <c r="AA136" s="216"/>
      <c r="AB136" s="216">
        <v>17123</v>
      </c>
      <c r="AC136" s="216"/>
      <c r="AD136" s="216"/>
      <c r="AE136" s="216"/>
      <c r="AF136" s="216"/>
      <c r="AG136" s="216"/>
      <c r="AH136" s="216">
        <v>4812</v>
      </c>
      <c r="AI136" s="216"/>
      <c r="AJ136" s="216"/>
      <c r="AK136" s="216"/>
      <c r="AL136" s="216">
        <v>6</v>
      </c>
    </row>
    <row r="137" spans="1:38" s="150" customFormat="1" ht="17.25" customHeight="1">
      <c r="A137" s="167" t="s">
        <v>1637</v>
      </c>
      <c r="B137" s="233">
        <f>C137+'表七(2)'!B137</f>
        <v>326267</v>
      </c>
      <c r="C137" s="215">
        <v>303451</v>
      </c>
      <c r="D137" s="216">
        <v>4233</v>
      </c>
      <c r="E137" s="216">
        <v>36894</v>
      </c>
      <c r="F137" s="216">
        <v>26233</v>
      </c>
      <c r="G137" s="216"/>
      <c r="H137" s="216"/>
      <c r="I137" s="216"/>
      <c r="J137" s="216">
        <v>1130</v>
      </c>
      <c r="K137" s="216">
        <v>9708</v>
      </c>
      <c r="L137" s="216">
        <v>44997</v>
      </c>
      <c r="M137" s="216"/>
      <c r="N137" s="216"/>
      <c r="O137" s="216"/>
      <c r="P137" s="216">
        <v>58620</v>
      </c>
      <c r="Q137" s="216">
        <v>238</v>
      </c>
      <c r="R137" s="216"/>
      <c r="S137" s="216"/>
      <c r="T137" s="216">
        <v>3343</v>
      </c>
      <c r="U137" s="216">
        <v>31852</v>
      </c>
      <c r="V137" s="216">
        <v>20</v>
      </c>
      <c r="W137" s="216">
        <v>830</v>
      </c>
      <c r="X137" s="216">
        <v>28425</v>
      </c>
      <c r="Y137" s="216">
        <v>25765</v>
      </c>
      <c r="Z137" s="216">
        <v>7093</v>
      </c>
      <c r="AA137" s="216"/>
      <c r="AB137" s="216">
        <v>21139</v>
      </c>
      <c r="AC137" s="216"/>
      <c r="AD137" s="216"/>
      <c r="AE137" s="216"/>
      <c r="AF137" s="216"/>
      <c r="AG137" s="216"/>
      <c r="AH137" s="216">
        <v>2926</v>
      </c>
      <c r="AI137" s="216"/>
      <c r="AJ137" s="216"/>
      <c r="AK137" s="216"/>
      <c r="AL137" s="216">
        <v>5</v>
      </c>
    </row>
    <row r="138" spans="1:38" s="150" customFormat="1" ht="17.25" customHeight="1">
      <c r="A138" s="167" t="s">
        <v>1638</v>
      </c>
      <c r="B138" s="233">
        <f>C138+'表七(2)'!B138</f>
        <v>240208</v>
      </c>
      <c r="C138" s="215">
        <v>217295</v>
      </c>
      <c r="D138" s="216">
        <v>3229</v>
      </c>
      <c r="E138" s="216">
        <v>30624</v>
      </c>
      <c r="F138" s="216">
        <v>17301</v>
      </c>
      <c r="G138" s="216"/>
      <c r="H138" s="216"/>
      <c r="I138" s="216"/>
      <c r="J138" s="216">
        <v>868</v>
      </c>
      <c r="K138" s="216">
        <v>8659</v>
      </c>
      <c r="L138" s="216">
        <v>32507</v>
      </c>
      <c r="M138" s="216"/>
      <c r="N138" s="216"/>
      <c r="O138" s="216"/>
      <c r="P138" s="216">
        <v>36596</v>
      </c>
      <c r="Q138" s="216">
        <v>190</v>
      </c>
      <c r="R138" s="216"/>
      <c r="S138" s="216"/>
      <c r="T138" s="216">
        <v>2233</v>
      </c>
      <c r="U138" s="216">
        <v>22149</v>
      </c>
      <c r="V138" s="216">
        <v>20</v>
      </c>
      <c r="W138" s="216">
        <v>703</v>
      </c>
      <c r="X138" s="216">
        <v>20393</v>
      </c>
      <c r="Y138" s="216">
        <v>15952</v>
      </c>
      <c r="Z138" s="216">
        <v>7486</v>
      </c>
      <c r="AA138" s="216"/>
      <c r="AB138" s="216">
        <v>15234</v>
      </c>
      <c r="AC138" s="216"/>
      <c r="AD138" s="216"/>
      <c r="AE138" s="216"/>
      <c r="AF138" s="216"/>
      <c r="AG138" s="216"/>
      <c r="AH138" s="216">
        <v>3147</v>
      </c>
      <c r="AI138" s="216"/>
      <c r="AJ138" s="216"/>
      <c r="AK138" s="216"/>
      <c r="AL138" s="216">
        <v>4</v>
      </c>
    </row>
    <row r="139" spans="1:38" s="150" customFormat="1" ht="17.25" customHeight="1">
      <c r="A139" s="167" t="s">
        <v>1639</v>
      </c>
      <c r="B139" s="233">
        <f>C139+'表七(2)'!B139</f>
        <v>324032</v>
      </c>
      <c r="C139" s="215">
        <v>300506</v>
      </c>
      <c r="D139" s="216">
        <v>3744</v>
      </c>
      <c r="E139" s="216">
        <v>46230</v>
      </c>
      <c r="F139" s="216">
        <v>24832</v>
      </c>
      <c r="G139" s="216"/>
      <c r="H139" s="216"/>
      <c r="I139" s="216"/>
      <c r="J139" s="216">
        <v>1315</v>
      </c>
      <c r="K139" s="216">
        <v>10347</v>
      </c>
      <c r="L139" s="216">
        <v>46781</v>
      </c>
      <c r="M139" s="216"/>
      <c r="N139" s="216"/>
      <c r="O139" s="216"/>
      <c r="P139" s="216">
        <v>59866</v>
      </c>
      <c r="Q139" s="216">
        <v>251</v>
      </c>
      <c r="R139" s="216"/>
      <c r="S139" s="216"/>
      <c r="T139" s="216">
        <v>3257</v>
      </c>
      <c r="U139" s="216">
        <v>23921</v>
      </c>
      <c r="V139" s="216">
        <v>20</v>
      </c>
      <c r="W139" s="216">
        <v>779</v>
      </c>
      <c r="X139" s="216">
        <v>25832</v>
      </c>
      <c r="Y139" s="216">
        <v>22691</v>
      </c>
      <c r="Z139" s="216">
        <v>9748</v>
      </c>
      <c r="AA139" s="216"/>
      <c r="AB139" s="216">
        <v>17604</v>
      </c>
      <c r="AC139" s="216"/>
      <c r="AD139" s="216"/>
      <c r="AE139" s="216"/>
      <c r="AF139" s="216"/>
      <c r="AG139" s="216"/>
      <c r="AH139" s="216">
        <v>3282</v>
      </c>
      <c r="AI139" s="216"/>
      <c r="AJ139" s="216"/>
      <c r="AK139" s="216"/>
      <c r="AL139" s="216">
        <v>6</v>
      </c>
    </row>
    <row r="140" spans="1:38" s="150" customFormat="1" ht="17.25" customHeight="1">
      <c r="A140" s="167" t="s">
        <v>1640</v>
      </c>
      <c r="B140" s="233">
        <f>C140+'表七(2)'!B140</f>
        <v>94654</v>
      </c>
      <c r="C140" s="215">
        <v>91366</v>
      </c>
      <c r="D140" s="216">
        <v>2155</v>
      </c>
      <c r="E140" s="216">
        <v>14328</v>
      </c>
      <c r="F140" s="216">
        <v>7031</v>
      </c>
      <c r="G140" s="216"/>
      <c r="H140" s="216"/>
      <c r="I140" s="216"/>
      <c r="J140" s="216">
        <v>60</v>
      </c>
      <c r="K140" s="216">
        <v>5851</v>
      </c>
      <c r="L140" s="216">
        <v>17619</v>
      </c>
      <c r="M140" s="216"/>
      <c r="N140" s="216"/>
      <c r="O140" s="216"/>
      <c r="P140" s="216">
        <v>8681</v>
      </c>
      <c r="Q140" s="216">
        <v>114</v>
      </c>
      <c r="R140" s="216"/>
      <c r="S140" s="216"/>
      <c r="T140" s="216">
        <v>1291</v>
      </c>
      <c r="U140" s="216">
        <v>16488</v>
      </c>
      <c r="V140" s="216">
        <v>10</v>
      </c>
      <c r="W140" s="216">
        <v>498</v>
      </c>
      <c r="X140" s="216">
        <v>6178</v>
      </c>
      <c r="Y140" s="216">
        <v>2808</v>
      </c>
      <c r="Z140" s="216">
        <v>1665</v>
      </c>
      <c r="AA140" s="216"/>
      <c r="AB140" s="216">
        <v>4628</v>
      </c>
      <c r="AC140" s="216"/>
      <c r="AD140" s="216"/>
      <c r="AE140" s="216"/>
      <c r="AF140" s="216"/>
      <c r="AG140" s="216"/>
      <c r="AH140" s="216">
        <v>715</v>
      </c>
      <c r="AI140" s="216"/>
      <c r="AJ140" s="216"/>
      <c r="AK140" s="216"/>
      <c r="AL140" s="216">
        <v>1246</v>
      </c>
    </row>
    <row r="141" spans="1:38" s="132" customFormat="1" ht="12">
      <c r="A141" s="161" t="s">
        <v>1675</v>
      </c>
      <c r="B141" s="233">
        <f>C141+'表七(2)'!B141</f>
        <v>323904</v>
      </c>
      <c r="C141" s="146">
        <f t="shared" ref="C141:AL141" si="17">SUM(C142:C143)</f>
        <v>320420</v>
      </c>
      <c r="D141" s="146">
        <f t="shared" si="17"/>
        <v>6569</v>
      </c>
      <c r="E141" s="146">
        <f t="shared" si="17"/>
        <v>49896</v>
      </c>
      <c r="F141" s="146">
        <f t="shared" si="17"/>
        <v>30560</v>
      </c>
      <c r="G141" s="146">
        <f t="shared" si="17"/>
        <v>0</v>
      </c>
      <c r="H141" s="146">
        <f t="shared" si="17"/>
        <v>0</v>
      </c>
      <c r="I141" s="146">
        <f t="shared" si="17"/>
        <v>909</v>
      </c>
      <c r="J141" s="146">
        <f t="shared" si="17"/>
        <v>0</v>
      </c>
      <c r="K141" s="146">
        <f t="shared" si="17"/>
        <v>0</v>
      </c>
      <c r="L141" s="146">
        <f t="shared" si="17"/>
        <v>69727</v>
      </c>
      <c r="M141" s="146">
        <f t="shared" si="17"/>
        <v>0</v>
      </c>
      <c r="N141" s="146">
        <f t="shared" si="17"/>
        <v>0</v>
      </c>
      <c r="O141" s="146">
        <f t="shared" si="17"/>
        <v>0</v>
      </c>
      <c r="P141" s="146">
        <f t="shared" si="17"/>
        <v>3998</v>
      </c>
      <c r="Q141" s="146">
        <f t="shared" si="17"/>
        <v>2167</v>
      </c>
      <c r="R141" s="146">
        <f t="shared" si="17"/>
        <v>0</v>
      </c>
      <c r="S141" s="146">
        <f t="shared" si="17"/>
        <v>168</v>
      </c>
      <c r="T141" s="146">
        <f t="shared" si="17"/>
        <v>8168</v>
      </c>
      <c r="U141" s="146">
        <f t="shared" si="17"/>
        <v>36210</v>
      </c>
      <c r="V141" s="146">
        <f t="shared" si="17"/>
        <v>122</v>
      </c>
      <c r="W141" s="146">
        <f t="shared" si="17"/>
        <v>6247</v>
      </c>
      <c r="X141" s="146">
        <f t="shared" si="17"/>
        <v>36000</v>
      </c>
      <c r="Y141" s="146">
        <f t="shared" si="17"/>
        <v>37689</v>
      </c>
      <c r="Z141" s="146">
        <f t="shared" si="17"/>
        <v>2322</v>
      </c>
      <c r="AA141" s="146">
        <f t="shared" si="17"/>
        <v>0</v>
      </c>
      <c r="AB141" s="146">
        <f t="shared" si="17"/>
        <v>21773</v>
      </c>
      <c r="AC141" s="146">
        <f t="shared" si="17"/>
        <v>2332</v>
      </c>
      <c r="AD141" s="146">
        <f t="shared" si="17"/>
        <v>0</v>
      </c>
      <c r="AE141" s="146">
        <f t="shared" si="17"/>
        <v>0</v>
      </c>
      <c r="AF141" s="146">
        <f t="shared" si="17"/>
        <v>0</v>
      </c>
      <c r="AG141" s="146">
        <f t="shared" si="17"/>
        <v>0</v>
      </c>
      <c r="AH141" s="146">
        <f t="shared" si="17"/>
        <v>5563</v>
      </c>
      <c r="AI141" s="146">
        <f t="shared" si="17"/>
        <v>0</v>
      </c>
      <c r="AJ141" s="146">
        <f t="shared" si="17"/>
        <v>0</v>
      </c>
      <c r="AK141" s="146">
        <f t="shared" si="17"/>
        <v>0</v>
      </c>
      <c r="AL141" s="146">
        <f t="shared" si="17"/>
        <v>0</v>
      </c>
    </row>
    <row r="142" spans="1:38" s="132" customFormat="1" ht="12">
      <c r="A142" s="167" t="s">
        <v>1193</v>
      </c>
      <c r="B142" s="233">
        <f>C142+'表七(2)'!B142</f>
        <v>45238</v>
      </c>
      <c r="C142" s="146">
        <f>SUM(D142:AL142)</f>
        <v>43111</v>
      </c>
      <c r="D142" s="146">
        <v>4251</v>
      </c>
      <c r="E142" s="146">
        <v>7040</v>
      </c>
      <c r="F142" s="146">
        <v>75</v>
      </c>
      <c r="G142" s="146"/>
      <c r="H142" s="146"/>
      <c r="I142" s="146">
        <v>909</v>
      </c>
      <c r="J142" s="146"/>
      <c r="K142" s="146"/>
      <c r="L142" s="146">
        <v>9688</v>
      </c>
      <c r="M142" s="146"/>
      <c r="N142" s="146"/>
      <c r="O142" s="146"/>
      <c r="P142" s="146"/>
      <c r="Q142" s="146">
        <v>550</v>
      </c>
      <c r="R142" s="146"/>
      <c r="S142" s="146">
        <v>168</v>
      </c>
      <c r="T142" s="146">
        <v>3466</v>
      </c>
      <c r="U142" s="146">
        <v>3665</v>
      </c>
      <c r="V142" s="146">
        <v>62</v>
      </c>
      <c r="W142" s="146">
        <v>5482</v>
      </c>
      <c r="X142" s="146">
        <v>3121</v>
      </c>
      <c r="Y142" s="146">
        <v>854</v>
      </c>
      <c r="Z142" s="146">
        <v>50</v>
      </c>
      <c r="AA142" s="146"/>
      <c r="AB142" s="146">
        <v>2897</v>
      </c>
      <c r="AC142" s="146">
        <v>833</v>
      </c>
      <c r="AD142" s="146">
        <v>0</v>
      </c>
      <c r="AE142" s="146">
        <v>0</v>
      </c>
      <c r="AF142" s="146">
        <v>0</v>
      </c>
      <c r="AG142" s="146">
        <v>0</v>
      </c>
      <c r="AH142" s="146">
        <v>0</v>
      </c>
      <c r="AI142" s="146">
        <v>0</v>
      </c>
      <c r="AJ142" s="146">
        <v>0</v>
      </c>
      <c r="AK142" s="146">
        <v>0</v>
      </c>
      <c r="AL142" s="146">
        <v>0</v>
      </c>
    </row>
    <row r="143" spans="1:38" s="132" customFormat="1" ht="12">
      <c r="A143" s="167" t="s">
        <v>1194</v>
      </c>
      <c r="B143" s="233">
        <f>C143+'表七(2)'!B143</f>
        <v>278666</v>
      </c>
      <c r="C143" s="146">
        <f>SUM(D143:AL143)</f>
        <v>277309</v>
      </c>
      <c r="D143" s="146">
        <f>SUM(D144:D146)</f>
        <v>2318</v>
      </c>
      <c r="E143" s="146">
        <f t="shared" ref="E143:AL143" si="18">SUM(E144:E146)</f>
        <v>42856</v>
      </c>
      <c r="F143" s="146">
        <f t="shared" si="18"/>
        <v>30485</v>
      </c>
      <c r="G143" s="146">
        <f t="shared" si="18"/>
        <v>0</v>
      </c>
      <c r="H143" s="146">
        <f t="shared" si="18"/>
        <v>0</v>
      </c>
      <c r="I143" s="146">
        <f t="shared" si="18"/>
        <v>0</v>
      </c>
      <c r="J143" s="146">
        <f t="shared" si="18"/>
        <v>0</v>
      </c>
      <c r="K143" s="146">
        <f t="shared" si="18"/>
        <v>0</v>
      </c>
      <c r="L143" s="146">
        <f t="shared" si="18"/>
        <v>60039</v>
      </c>
      <c r="M143" s="146">
        <f t="shared" si="18"/>
        <v>0</v>
      </c>
      <c r="N143" s="146">
        <f t="shared" si="18"/>
        <v>0</v>
      </c>
      <c r="O143" s="146">
        <f t="shared" si="18"/>
        <v>0</v>
      </c>
      <c r="P143" s="146">
        <f t="shared" si="18"/>
        <v>3998</v>
      </c>
      <c r="Q143" s="146">
        <f t="shared" si="18"/>
        <v>1617</v>
      </c>
      <c r="R143" s="146">
        <f t="shared" si="18"/>
        <v>0</v>
      </c>
      <c r="S143" s="146">
        <f t="shared" si="18"/>
        <v>0</v>
      </c>
      <c r="T143" s="146">
        <f t="shared" si="18"/>
        <v>4702</v>
      </c>
      <c r="U143" s="146">
        <f t="shared" si="18"/>
        <v>32545</v>
      </c>
      <c r="V143" s="146">
        <f t="shared" si="18"/>
        <v>60</v>
      </c>
      <c r="W143" s="146">
        <f t="shared" si="18"/>
        <v>765</v>
      </c>
      <c r="X143" s="146">
        <f t="shared" si="18"/>
        <v>32879</v>
      </c>
      <c r="Y143" s="146">
        <f t="shared" si="18"/>
        <v>36835</v>
      </c>
      <c r="Z143" s="146">
        <f t="shared" si="18"/>
        <v>2272</v>
      </c>
      <c r="AA143" s="146">
        <f t="shared" si="18"/>
        <v>0</v>
      </c>
      <c r="AB143" s="146">
        <f t="shared" si="18"/>
        <v>18876</v>
      </c>
      <c r="AC143" s="146">
        <f t="shared" si="18"/>
        <v>1499</v>
      </c>
      <c r="AD143" s="146">
        <f t="shared" si="18"/>
        <v>0</v>
      </c>
      <c r="AE143" s="146">
        <f t="shared" si="18"/>
        <v>0</v>
      </c>
      <c r="AF143" s="146">
        <f t="shared" si="18"/>
        <v>0</v>
      </c>
      <c r="AG143" s="146">
        <f t="shared" si="18"/>
        <v>0</v>
      </c>
      <c r="AH143" s="146">
        <f t="shared" si="18"/>
        <v>5563</v>
      </c>
      <c r="AI143" s="146">
        <f t="shared" si="18"/>
        <v>0</v>
      </c>
      <c r="AJ143" s="146">
        <f t="shared" si="18"/>
        <v>0</v>
      </c>
      <c r="AK143" s="146">
        <f t="shared" si="18"/>
        <v>0</v>
      </c>
      <c r="AL143" s="146">
        <f t="shared" si="18"/>
        <v>0</v>
      </c>
    </row>
    <row r="144" spans="1:38" s="132" customFormat="1" ht="12">
      <c r="A144" s="167" t="s">
        <v>1641</v>
      </c>
      <c r="B144" s="233">
        <f>C144+'表七(2)'!B144</f>
        <v>112509</v>
      </c>
      <c r="C144" s="146">
        <f>SUM(D144:AL144)</f>
        <v>112031</v>
      </c>
      <c r="D144" s="195">
        <v>39</v>
      </c>
      <c r="E144" s="195">
        <v>16266</v>
      </c>
      <c r="F144" s="195">
        <v>14592</v>
      </c>
      <c r="G144" s="195">
        <v>0</v>
      </c>
      <c r="H144" s="195">
        <v>0</v>
      </c>
      <c r="I144" s="195">
        <v>0</v>
      </c>
      <c r="J144" s="195">
        <v>0</v>
      </c>
      <c r="K144" s="195">
        <v>0</v>
      </c>
      <c r="L144" s="195">
        <v>22455</v>
      </c>
      <c r="M144" s="195">
        <v>0</v>
      </c>
      <c r="N144" s="195">
        <v>0</v>
      </c>
      <c r="O144" s="195">
        <v>0</v>
      </c>
      <c r="P144" s="195">
        <v>1985</v>
      </c>
      <c r="Q144" s="195">
        <v>747</v>
      </c>
      <c r="R144" s="195">
        <v>0</v>
      </c>
      <c r="S144" s="195">
        <v>0</v>
      </c>
      <c r="T144" s="195">
        <v>2162</v>
      </c>
      <c r="U144" s="195">
        <v>13197</v>
      </c>
      <c r="V144" s="195">
        <v>20</v>
      </c>
      <c r="W144" s="195">
        <v>252</v>
      </c>
      <c r="X144" s="146">
        <v>14519</v>
      </c>
      <c r="Y144" s="146">
        <v>16300</v>
      </c>
      <c r="Z144" s="146">
        <v>1296</v>
      </c>
      <c r="AA144" s="146">
        <v>0</v>
      </c>
      <c r="AB144" s="146">
        <v>6055</v>
      </c>
      <c r="AC144" s="146">
        <v>23</v>
      </c>
      <c r="AD144" s="146">
        <v>0</v>
      </c>
      <c r="AE144" s="146">
        <v>0</v>
      </c>
      <c r="AF144" s="146">
        <v>0</v>
      </c>
      <c r="AG144" s="146">
        <v>0</v>
      </c>
      <c r="AH144" s="146">
        <v>2123</v>
      </c>
      <c r="AI144" s="146">
        <v>0</v>
      </c>
      <c r="AJ144" s="146">
        <v>0</v>
      </c>
      <c r="AK144" s="146">
        <v>0</v>
      </c>
      <c r="AL144" s="146">
        <v>0</v>
      </c>
    </row>
    <row r="145" spans="1:38" s="132" customFormat="1" ht="12">
      <c r="A145" s="167" t="s">
        <v>1642</v>
      </c>
      <c r="B145" s="233">
        <f>C145+'表七(2)'!B145</f>
        <v>91945</v>
      </c>
      <c r="C145" s="146">
        <f>SUM(D145:AL145)</f>
        <v>91482</v>
      </c>
      <c r="D145" s="146">
        <v>105</v>
      </c>
      <c r="E145" s="146">
        <v>14036</v>
      </c>
      <c r="F145" s="146">
        <v>9158</v>
      </c>
      <c r="G145" s="146"/>
      <c r="H145" s="146"/>
      <c r="I145" s="146"/>
      <c r="J145" s="146"/>
      <c r="K145" s="146"/>
      <c r="L145" s="146">
        <v>18928</v>
      </c>
      <c r="M145" s="146"/>
      <c r="N145" s="146"/>
      <c r="O145" s="146"/>
      <c r="P145" s="146">
        <v>2013</v>
      </c>
      <c r="Q145" s="146">
        <v>506</v>
      </c>
      <c r="R145" s="146"/>
      <c r="S145" s="146"/>
      <c r="T145" s="146">
        <v>1595</v>
      </c>
      <c r="U145" s="146">
        <v>11939</v>
      </c>
      <c r="V145" s="146">
        <v>20</v>
      </c>
      <c r="W145" s="146">
        <v>235</v>
      </c>
      <c r="X145" s="146">
        <v>10803</v>
      </c>
      <c r="Y145" s="146">
        <v>13214</v>
      </c>
      <c r="Z145" s="146">
        <v>523</v>
      </c>
      <c r="AA145" s="146"/>
      <c r="AB145" s="146">
        <v>4360</v>
      </c>
      <c r="AC145" s="146">
        <v>1320</v>
      </c>
      <c r="AD145" s="146"/>
      <c r="AE145" s="146"/>
      <c r="AF145" s="146"/>
      <c r="AG145" s="146"/>
      <c r="AH145" s="146">
        <v>2727</v>
      </c>
      <c r="AI145" s="146"/>
      <c r="AJ145" s="146"/>
      <c r="AK145" s="146"/>
      <c r="AL145" s="146"/>
    </row>
    <row r="146" spans="1:38" s="132" customFormat="1" ht="12">
      <c r="A146" s="167" t="s">
        <v>1643</v>
      </c>
      <c r="B146" s="233">
        <f>C146+'表七(2)'!B146</f>
        <v>74212</v>
      </c>
      <c r="C146" s="146">
        <f>SUM(D146:AL146)</f>
        <v>73796</v>
      </c>
      <c r="D146" s="217">
        <v>2174</v>
      </c>
      <c r="E146" s="217">
        <v>12554</v>
      </c>
      <c r="F146" s="217">
        <v>6735</v>
      </c>
      <c r="G146" s="217"/>
      <c r="H146" s="217"/>
      <c r="I146" s="217"/>
      <c r="J146" s="217"/>
      <c r="K146" s="217"/>
      <c r="L146" s="217">
        <v>18656</v>
      </c>
      <c r="M146" s="217"/>
      <c r="N146" s="217"/>
      <c r="O146" s="217"/>
      <c r="P146" s="217"/>
      <c r="Q146" s="217">
        <v>364</v>
      </c>
      <c r="R146" s="217"/>
      <c r="S146" s="217"/>
      <c r="T146" s="217">
        <v>945</v>
      </c>
      <c r="U146" s="217">
        <v>7409</v>
      </c>
      <c r="V146" s="217">
        <v>20</v>
      </c>
      <c r="W146" s="217">
        <v>278</v>
      </c>
      <c r="X146" s="217">
        <v>7557</v>
      </c>
      <c r="Y146" s="217">
        <v>7321</v>
      </c>
      <c r="Z146" s="217">
        <v>453</v>
      </c>
      <c r="AA146" s="217"/>
      <c r="AB146" s="217">
        <v>8461</v>
      </c>
      <c r="AC146" s="217">
        <v>156</v>
      </c>
      <c r="AD146" s="217"/>
      <c r="AE146" s="217"/>
      <c r="AF146" s="217"/>
      <c r="AG146" s="217"/>
      <c r="AH146" s="217">
        <v>713</v>
      </c>
      <c r="AI146" s="217"/>
      <c r="AJ146" s="217"/>
      <c r="AK146" s="217"/>
      <c r="AL146" s="217">
        <v>0</v>
      </c>
    </row>
    <row r="147" spans="1:38">
      <c r="A147" s="164" t="s">
        <v>1647</v>
      </c>
      <c r="B147" s="233">
        <f>C147+'表七(2)'!B147</f>
        <v>498238</v>
      </c>
      <c r="C147" s="215">
        <f t="shared" ref="C147:AL147" si="19">C148+C149</f>
        <v>256609</v>
      </c>
      <c r="D147" s="215">
        <f t="shared" si="19"/>
        <v>12083</v>
      </c>
      <c r="E147" s="215">
        <f t="shared" si="19"/>
        <v>65806</v>
      </c>
      <c r="F147" s="215">
        <f t="shared" si="19"/>
        <v>23165</v>
      </c>
      <c r="G147" s="215">
        <f t="shared" si="19"/>
        <v>0</v>
      </c>
      <c r="H147" s="215">
        <f t="shared" si="19"/>
        <v>0</v>
      </c>
      <c r="I147" s="215">
        <f t="shared" si="19"/>
        <v>8285</v>
      </c>
      <c r="J147" s="215">
        <f t="shared" si="19"/>
        <v>0</v>
      </c>
      <c r="K147" s="215">
        <f t="shared" si="19"/>
        <v>3502</v>
      </c>
      <c r="L147" s="215">
        <f t="shared" si="19"/>
        <v>88538</v>
      </c>
      <c r="M147" s="215">
        <f t="shared" si="19"/>
        <v>0</v>
      </c>
      <c r="N147" s="215">
        <f t="shared" si="19"/>
        <v>0</v>
      </c>
      <c r="O147" s="215">
        <f t="shared" si="19"/>
        <v>12612</v>
      </c>
      <c r="P147" s="215">
        <f t="shared" si="19"/>
        <v>0</v>
      </c>
      <c r="Q147" s="215">
        <f t="shared" si="19"/>
        <v>0</v>
      </c>
      <c r="R147" s="215">
        <f t="shared" si="19"/>
        <v>0</v>
      </c>
      <c r="S147" s="215">
        <f t="shared" si="19"/>
        <v>0</v>
      </c>
      <c r="T147" s="215">
        <f t="shared" si="19"/>
        <v>6630</v>
      </c>
      <c r="U147" s="215">
        <f t="shared" si="19"/>
        <v>868</v>
      </c>
      <c r="V147" s="215">
        <f t="shared" si="19"/>
        <v>0</v>
      </c>
      <c r="W147" s="215">
        <f t="shared" si="19"/>
        <v>0</v>
      </c>
      <c r="X147" s="215">
        <f t="shared" si="19"/>
        <v>0</v>
      </c>
      <c r="Y147" s="215">
        <f t="shared" si="19"/>
        <v>0</v>
      </c>
      <c r="Z147" s="215">
        <f t="shared" si="19"/>
        <v>0</v>
      </c>
      <c r="AA147" s="215">
        <f t="shared" si="19"/>
        <v>0</v>
      </c>
      <c r="AB147" s="215">
        <f t="shared" si="19"/>
        <v>35120</v>
      </c>
      <c r="AC147" s="215">
        <f t="shared" si="19"/>
        <v>0</v>
      </c>
      <c r="AD147" s="215">
        <f t="shared" si="19"/>
        <v>0</v>
      </c>
      <c r="AE147" s="215">
        <f t="shared" si="19"/>
        <v>0</v>
      </c>
      <c r="AF147" s="215">
        <f t="shared" si="19"/>
        <v>0</v>
      </c>
      <c r="AG147" s="215">
        <f t="shared" si="19"/>
        <v>0</v>
      </c>
      <c r="AH147" s="215">
        <f t="shared" si="19"/>
        <v>0</v>
      </c>
      <c r="AI147" s="215">
        <f t="shared" si="19"/>
        <v>0</v>
      </c>
      <c r="AJ147" s="215">
        <f t="shared" si="19"/>
        <v>0</v>
      </c>
      <c r="AK147" s="215">
        <f t="shared" si="19"/>
        <v>0</v>
      </c>
      <c r="AL147" s="215">
        <f t="shared" si="19"/>
        <v>0</v>
      </c>
    </row>
    <row r="148" spans="1:38">
      <c r="A148" s="167" t="s">
        <v>1193</v>
      </c>
      <c r="B148" s="233">
        <f>C148+'表七(2)'!B148</f>
        <v>203641</v>
      </c>
      <c r="C148" s="218">
        <f>SUM(D148:AL148)</f>
        <v>53546</v>
      </c>
      <c r="D148" s="218">
        <v>4434</v>
      </c>
      <c r="E148" s="218">
        <v>23724</v>
      </c>
      <c r="F148" s="218">
        <v>20</v>
      </c>
      <c r="G148" s="218"/>
      <c r="H148" s="218"/>
      <c r="I148" s="218">
        <v>4269</v>
      </c>
      <c r="J148" s="218"/>
      <c r="K148" s="218"/>
      <c r="L148" s="218">
        <v>18943</v>
      </c>
      <c r="M148" s="218"/>
      <c r="N148" s="218"/>
      <c r="O148" s="218">
        <v>1288</v>
      </c>
      <c r="P148" s="218"/>
      <c r="Q148" s="218"/>
      <c r="R148" s="218"/>
      <c r="S148" s="218"/>
      <c r="T148" s="218"/>
      <c r="U148" s="218">
        <v>868</v>
      </c>
      <c r="V148" s="218"/>
      <c r="W148" s="218"/>
      <c r="X148" s="218"/>
      <c r="Y148" s="218"/>
      <c r="Z148" s="218"/>
      <c r="AA148" s="218"/>
      <c r="AB148" s="218"/>
      <c r="AC148" s="218"/>
      <c r="AD148" s="218"/>
      <c r="AE148" s="218"/>
      <c r="AF148" s="218"/>
      <c r="AG148" s="218"/>
      <c r="AH148" s="218"/>
      <c r="AI148" s="218"/>
      <c r="AJ148" s="218"/>
      <c r="AK148" s="218"/>
      <c r="AL148" s="218"/>
    </row>
    <row r="149" spans="1:38">
      <c r="A149" s="167" t="s">
        <v>1194</v>
      </c>
      <c r="B149" s="233">
        <f>C149+'表七(2)'!B149</f>
        <v>294597</v>
      </c>
      <c r="C149" s="218">
        <f t="shared" ref="C149:AL149" si="20">SUM(C150:C152)</f>
        <v>203063</v>
      </c>
      <c r="D149" s="218">
        <f t="shared" si="20"/>
        <v>7649</v>
      </c>
      <c r="E149" s="218">
        <f t="shared" si="20"/>
        <v>42082</v>
      </c>
      <c r="F149" s="218">
        <f t="shared" si="20"/>
        <v>23145</v>
      </c>
      <c r="G149" s="218">
        <f t="shared" si="20"/>
        <v>0</v>
      </c>
      <c r="H149" s="218">
        <f t="shared" si="20"/>
        <v>0</v>
      </c>
      <c r="I149" s="218">
        <f t="shared" si="20"/>
        <v>4016</v>
      </c>
      <c r="J149" s="218">
        <f t="shared" si="20"/>
        <v>0</v>
      </c>
      <c r="K149" s="218">
        <f t="shared" si="20"/>
        <v>3502</v>
      </c>
      <c r="L149" s="218">
        <f t="shared" si="20"/>
        <v>69595</v>
      </c>
      <c r="M149" s="218">
        <f t="shared" si="20"/>
        <v>0</v>
      </c>
      <c r="N149" s="218">
        <f t="shared" si="20"/>
        <v>0</v>
      </c>
      <c r="O149" s="218">
        <f t="shared" si="20"/>
        <v>11324</v>
      </c>
      <c r="P149" s="218">
        <f t="shared" si="20"/>
        <v>0</v>
      </c>
      <c r="Q149" s="218">
        <f t="shared" si="20"/>
        <v>0</v>
      </c>
      <c r="R149" s="218">
        <f t="shared" si="20"/>
        <v>0</v>
      </c>
      <c r="S149" s="218">
        <f t="shared" si="20"/>
        <v>0</v>
      </c>
      <c r="T149" s="218">
        <f t="shared" si="20"/>
        <v>6630</v>
      </c>
      <c r="U149" s="218">
        <f t="shared" si="20"/>
        <v>0</v>
      </c>
      <c r="V149" s="218">
        <f t="shared" si="20"/>
        <v>0</v>
      </c>
      <c r="W149" s="218">
        <f t="shared" si="20"/>
        <v>0</v>
      </c>
      <c r="X149" s="218">
        <f t="shared" si="20"/>
        <v>0</v>
      </c>
      <c r="Y149" s="218">
        <f t="shared" si="20"/>
        <v>0</v>
      </c>
      <c r="Z149" s="218">
        <f t="shared" si="20"/>
        <v>0</v>
      </c>
      <c r="AA149" s="218">
        <f t="shared" si="20"/>
        <v>0</v>
      </c>
      <c r="AB149" s="218">
        <f t="shared" si="20"/>
        <v>35120</v>
      </c>
      <c r="AC149" s="218">
        <f t="shared" si="20"/>
        <v>0</v>
      </c>
      <c r="AD149" s="218">
        <f t="shared" si="20"/>
        <v>0</v>
      </c>
      <c r="AE149" s="218">
        <f t="shared" si="20"/>
        <v>0</v>
      </c>
      <c r="AF149" s="218">
        <f t="shared" si="20"/>
        <v>0</v>
      </c>
      <c r="AG149" s="218">
        <f t="shared" si="20"/>
        <v>0</v>
      </c>
      <c r="AH149" s="218">
        <f t="shared" si="20"/>
        <v>0</v>
      </c>
      <c r="AI149" s="218">
        <f t="shared" si="20"/>
        <v>0</v>
      </c>
      <c r="AJ149" s="218">
        <f t="shared" si="20"/>
        <v>0</v>
      </c>
      <c r="AK149" s="218">
        <f t="shared" si="20"/>
        <v>0</v>
      </c>
      <c r="AL149" s="218">
        <f t="shared" si="20"/>
        <v>0</v>
      </c>
    </row>
    <row r="150" spans="1:38">
      <c r="A150" s="167" t="s">
        <v>1648</v>
      </c>
      <c r="B150" s="233">
        <f>C150+'表七(2)'!B150</f>
        <v>134756</v>
      </c>
      <c r="C150" s="215">
        <f>SUM(D150:AL150)</f>
        <v>84901</v>
      </c>
      <c r="D150" s="215">
        <v>1578</v>
      </c>
      <c r="E150" s="215">
        <v>16404</v>
      </c>
      <c r="F150" s="215">
        <v>6010</v>
      </c>
      <c r="G150" s="215"/>
      <c r="H150" s="215"/>
      <c r="I150" s="215">
        <v>4016</v>
      </c>
      <c r="J150" s="215"/>
      <c r="K150" s="215"/>
      <c r="L150" s="215">
        <v>30412</v>
      </c>
      <c r="M150" s="215"/>
      <c r="N150" s="215"/>
      <c r="O150" s="215">
        <v>2289</v>
      </c>
      <c r="P150" s="215"/>
      <c r="Q150" s="215"/>
      <c r="R150" s="215"/>
      <c r="S150" s="215"/>
      <c r="T150" s="215">
        <v>3671</v>
      </c>
      <c r="U150" s="215"/>
      <c r="V150" s="215"/>
      <c r="W150" s="215"/>
      <c r="X150" s="218"/>
      <c r="Y150" s="218"/>
      <c r="Z150" s="218"/>
      <c r="AA150" s="218"/>
      <c r="AB150" s="218">
        <v>20521</v>
      </c>
      <c r="AC150" s="218"/>
      <c r="AD150" s="218"/>
      <c r="AE150" s="218"/>
      <c r="AF150" s="218"/>
      <c r="AG150" s="218"/>
      <c r="AH150" s="218"/>
      <c r="AI150" s="218"/>
      <c r="AJ150" s="218"/>
      <c r="AK150" s="218"/>
      <c r="AL150" s="218"/>
    </row>
    <row r="151" spans="1:38">
      <c r="A151" s="167" t="s">
        <v>1644</v>
      </c>
      <c r="B151" s="233">
        <f>C151+'表七(2)'!B151</f>
        <v>105682</v>
      </c>
      <c r="C151" s="215">
        <f>SUM(D151:AL151)</f>
        <v>77542</v>
      </c>
      <c r="D151" s="218">
        <v>3858</v>
      </c>
      <c r="E151" s="218">
        <v>17736</v>
      </c>
      <c r="F151" s="218">
        <v>10446</v>
      </c>
      <c r="G151" s="218"/>
      <c r="H151" s="218"/>
      <c r="I151" s="218"/>
      <c r="J151" s="218"/>
      <c r="K151" s="218">
        <v>3502</v>
      </c>
      <c r="L151" s="218">
        <v>25702</v>
      </c>
      <c r="M151" s="218"/>
      <c r="N151" s="218"/>
      <c r="O151" s="218">
        <v>4029</v>
      </c>
      <c r="P151" s="218"/>
      <c r="Q151" s="218"/>
      <c r="R151" s="218"/>
      <c r="S151" s="218"/>
      <c r="T151" s="218">
        <v>1685</v>
      </c>
      <c r="U151" s="218"/>
      <c r="V151" s="218"/>
      <c r="W151" s="218"/>
      <c r="X151" s="218"/>
      <c r="Y151" s="218"/>
      <c r="Z151" s="218"/>
      <c r="AA151" s="218"/>
      <c r="AB151" s="218">
        <v>10584</v>
      </c>
      <c r="AC151" s="218"/>
      <c r="AD151" s="218"/>
      <c r="AE151" s="218"/>
      <c r="AF151" s="218"/>
      <c r="AG151" s="218"/>
      <c r="AH151" s="218"/>
      <c r="AI151" s="218"/>
      <c r="AJ151" s="218"/>
      <c r="AK151" s="218"/>
      <c r="AL151" s="218"/>
    </row>
    <row r="152" spans="1:38">
      <c r="A152" s="167" t="s">
        <v>1649</v>
      </c>
      <c r="B152" s="233">
        <f>C152+'表七(2)'!B152</f>
        <v>54159</v>
      </c>
      <c r="C152" s="215">
        <f>SUM(D152:AL152)</f>
        <v>40620</v>
      </c>
      <c r="D152" s="195">
        <v>2213</v>
      </c>
      <c r="E152" s="195">
        <v>7942</v>
      </c>
      <c r="F152" s="195">
        <v>6689</v>
      </c>
      <c r="G152" s="195"/>
      <c r="H152" s="195"/>
      <c r="I152" s="195"/>
      <c r="J152" s="195"/>
      <c r="K152" s="195"/>
      <c r="L152" s="195">
        <v>13481</v>
      </c>
      <c r="M152" s="195"/>
      <c r="N152" s="195"/>
      <c r="O152" s="195">
        <v>5006</v>
      </c>
      <c r="P152" s="195"/>
      <c r="Q152" s="195"/>
      <c r="R152" s="195"/>
      <c r="S152" s="195"/>
      <c r="T152" s="195">
        <v>1274</v>
      </c>
      <c r="U152" s="195"/>
      <c r="V152" s="195"/>
      <c r="W152" s="195"/>
      <c r="X152" s="195"/>
      <c r="Y152" s="195"/>
      <c r="Z152" s="195"/>
      <c r="AA152" s="195"/>
      <c r="AB152" s="195">
        <v>4015</v>
      </c>
      <c r="AC152" s="146"/>
      <c r="AD152" s="146"/>
      <c r="AE152" s="146"/>
      <c r="AF152" s="146"/>
      <c r="AG152" s="146"/>
      <c r="AH152" s="146"/>
      <c r="AI152" s="146"/>
      <c r="AJ152" s="146"/>
      <c r="AK152" s="146"/>
      <c r="AL152" s="146"/>
    </row>
  </sheetData>
  <protectedRanges>
    <protectedRange sqref="Q14" name="区域1"/>
    <protectedRange sqref="T14" name="区域1_1"/>
    <protectedRange sqref="U14" name="区域1_2"/>
    <protectedRange sqref="W14" name="区域1_3"/>
    <protectedRange sqref="X14" name="区域1_4"/>
    <protectedRange sqref="Y14" name="区域1_5"/>
    <protectedRange sqref="AB14" name="区域1_6"/>
    <protectedRange sqref="AH14" name="区域1_7"/>
    <protectedRange sqref="AJ14" name="区域1_8"/>
    <protectedRange sqref="Q29:AK29" name="区域1_2_1"/>
    <protectedRange sqref="Q54:AK54" name="区域1_9"/>
    <protectedRange sqref="Q58:AK58" name="区域1_1_1"/>
  </protectedRanges>
  <mergeCells count="5">
    <mergeCell ref="A2:AL2"/>
    <mergeCell ref="A3:AL3"/>
    <mergeCell ref="C4:AL4"/>
    <mergeCell ref="A4:A5"/>
    <mergeCell ref="B4:B5"/>
  </mergeCells>
  <phoneticPr fontId="14" type="noConversion"/>
  <printOptions horizontalCentered="1"/>
  <pageMargins left="0.47244094488188998" right="0.47244094488188998" top="0.59055118110236204" bottom="0.47244094488188998" header="0.31496062992126" footer="0.31496062992126"/>
  <pageSetup paperSize="9" scale="85" orientation="landscape" r:id="rId1"/>
</worksheet>
</file>

<file path=xl/worksheets/sheet11.xml><?xml version="1.0" encoding="utf-8"?>
<worksheet xmlns="http://schemas.openxmlformats.org/spreadsheetml/2006/main" xmlns:r="http://schemas.openxmlformats.org/officeDocument/2006/relationships">
  <dimension ref="A1:W152"/>
  <sheetViews>
    <sheetView showGridLines="0" showZeros="0" topLeftCell="C139" workbookViewId="0">
      <selection activeCell="X113" sqref="X113"/>
    </sheetView>
  </sheetViews>
  <sheetFormatPr defaultColWidth="5.75" defaultRowHeight="13.5"/>
  <cols>
    <col min="1" max="1" width="24.25" style="36" bestFit="1" customWidth="1"/>
    <col min="2" max="2" width="9.375" style="36" bestFit="1" customWidth="1"/>
    <col min="3" max="3" width="6.75" style="36" bestFit="1" customWidth="1"/>
    <col min="4" max="4" width="5.25" style="36" bestFit="1" customWidth="1"/>
    <col min="5" max="6" width="6.75" style="36" bestFit="1" customWidth="1"/>
    <col min="7" max="7" width="7.625" style="36" bestFit="1" customWidth="1"/>
    <col min="8" max="8" width="5.25" style="36" bestFit="1" customWidth="1"/>
    <col min="9" max="9" width="6.75" style="36" bestFit="1" customWidth="1"/>
    <col min="10" max="10" width="7.625" style="36" bestFit="1" customWidth="1"/>
    <col min="11" max="11" width="7.625" style="37" bestFit="1" customWidth="1"/>
    <col min="12" max="12" width="7.625" style="36" bestFit="1" customWidth="1"/>
    <col min="13" max="13" width="6.75" style="36" bestFit="1" customWidth="1"/>
    <col min="14" max="15" width="8.5" style="36" bestFit="1" customWidth="1"/>
    <col min="16" max="16" width="7.625" style="37" bestFit="1" customWidth="1"/>
    <col min="17" max="17" width="7.625" style="36" bestFit="1" customWidth="1"/>
    <col min="18" max="18" width="5.25" style="36" bestFit="1" customWidth="1"/>
    <col min="19" max="20" width="7.625" style="36" bestFit="1" customWidth="1"/>
    <col min="21" max="21" width="5.25" style="36" bestFit="1" customWidth="1"/>
    <col min="22" max="22" width="6.75" style="36" bestFit="1" customWidth="1"/>
    <col min="23" max="23" width="11" style="36" bestFit="1" customWidth="1"/>
    <col min="24" max="16384" width="5.75" style="36"/>
  </cols>
  <sheetData>
    <row r="1" spans="1:23" ht="14.25">
      <c r="A1" s="26" t="s">
        <v>1262</v>
      </c>
    </row>
    <row r="2" spans="1:23" s="35" customFormat="1" ht="33.950000000000003" customHeight="1">
      <c r="A2" s="38" t="s">
        <v>0</v>
      </c>
      <c r="B2" s="379" t="s">
        <v>1223</v>
      </c>
      <c r="C2" s="379"/>
      <c r="D2" s="379"/>
      <c r="E2" s="379"/>
      <c r="F2" s="379"/>
      <c r="G2" s="379"/>
      <c r="H2" s="379"/>
      <c r="I2" s="379"/>
      <c r="J2" s="379"/>
      <c r="K2" s="379"/>
      <c r="L2" s="379"/>
      <c r="M2" s="379"/>
      <c r="N2" s="379"/>
      <c r="O2" s="379"/>
      <c r="P2" s="379"/>
      <c r="Q2" s="379"/>
      <c r="R2" s="379"/>
      <c r="S2" s="379"/>
      <c r="T2" s="379"/>
      <c r="U2" s="379"/>
      <c r="V2" s="39"/>
      <c r="W2" s="38"/>
    </row>
    <row r="3" spans="1:23" ht="17.100000000000001" customHeight="1">
      <c r="A3" s="40"/>
      <c r="B3" s="380"/>
      <c r="C3" s="380"/>
      <c r="D3" s="380"/>
      <c r="E3" s="380"/>
      <c r="F3" s="380"/>
      <c r="G3" s="380"/>
      <c r="H3" s="380"/>
      <c r="I3" s="380"/>
      <c r="J3" s="380"/>
      <c r="K3" s="380"/>
      <c r="L3" s="380"/>
      <c r="M3" s="380"/>
      <c r="N3" s="380"/>
      <c r="O3" s="380"/>
      <c r="P3" s="380"/>
      <c r="Q3" s="380"/>
      <c r="R3" s="380"/>
      <c r="S3" s="380"/>
      <c r="T3" s="380"/>
      <c r="U3" s="380"/>
      <c r="V3" s="43"/>
      <c r="W3" s="40" t="s">
        <v>22</v>
      </c>
    </row>
    <row r="4" spans="1:23" ht="31.5" customHeight="1">
      <c r="A4" s="371" t="s">
        <v>1164</v>
      </c>
      <c r="B4" s="378" t="s">
        <v>1263</v>
      </c>
      <c r="C4" s="378"/>
      <c r="D4" s="378"/>
      <c r="E4" s="378"/>
      <c r="F4" s="378"/>
      <c r="G4" s="378"/>
      <c r="H4" s="378"/>
      <c r="I4" s="378"/>
      <c r="J4" s="378"/>
      <c r="K4" s="378"/>
      <c r="L4" s="378"/>
      <c r="M4" s="378"/>
      <c r="N4" s="378"/>
      <c r="O4" s="378"/>
      <c r="P4" s="378"/>
      <c r="Q4" s="378"/>
      <c r="R4" s="378"/>
      <c r="S4" s="378"/>
      <c r="T4" s="378"/>
      <c r="U4" s="378"/>
      <c r="V4" s="378"/>
      <c r="W4" s="378"/>
    </row>
    <row r="5" spans="1:23" ht="67.5" customHeight="1">
      <c r="A5" s="375"/>
      <c r="B5" s="42" t="s">
        <v>1264</v>
      </c>
      <c r="C5" s="41" t="s">
        <v>1265</v>
      </c>
      <c r="D5" s="41" t="s">
        <v>1266</v>
      </c>
      <c r="E5" s="41" t="s">
        <v>1267</v>
      </c>
      <c r="F5" s="41" t="s">
        <v>1268</v>
      </c>
      <c r="G5" s="41" t="s">
        <v>1269</v>
      </c>
      <c r="H5" s="41" t="s">
        <v>1270</v>
      </c>
      <c r="I5" s="41" t="s">
        <v>1271</v>
      </c>
      <c r="J5" s="41" t="s">
        <v>1272</v>
      </c>
      <c r="K5" s="41" t="s">
        <v>1273</v>
      </c>
      <c r="L5" s="41" t="s">
        <v>1274</v>
      </c>
      <c r="M5" s="41" t="s">
        <v>1275</v>
      </c>
      <c r="N5" s="41" t="s">
        <v>1276</v>
      </c>
      <c r="O5" s="41" t="s">
        <v>1277</v>
      </c>
      <c r="P5" s="41" t="s">
        <v>1278</v>
      </c>
      <c r="Q5" s="41" t="s">
        <v>1279</v>
      </c>
      <c r="R5" s="41" t="s">
        <v>1280</v>
      </c>
      <c r="S5" s="41" t="s">
        <v>1281</v>
      </c>
      <c r="T5" s="41" t="s">
        <v>1282</v>
      </c>
      <c r="U5" s="41" t="s">
        <v>1283</v>
      </c>
      <c r="V5" s="41" t="s">
        <v>1284</v>
      </c>
      <c r="W5" s="41" t="s">
        <v>1285</v>
      </c>
    </row>
    <row r="6" spans="1:23" ht="17.25" customHeight="1">
      <c r="A6" s="158" t="s">
        <v>1645</v>
      </c>
      <c r="B6" s="206">
        <v>660201</v>
      </c>
      <c r="C6" s="206">
        <v>4031</v>
      </c>
      <c r="D6" s="206"/>
      <c r="E6" s="206">
        <v>1018</v>
      </c>
      <c r="F6" s="206"/>
      <c r="G6" s="206"/>
      <c r="H6" s="206"/>
      <c r="I6" s="206"/>
      <c r="J6" s="206"/>
      <c r="K6" s="206">
        <v>40483</v>
      </c>
      <c r="L6" s="206">
        <v>50956</v>
      </c>
      <c r="M6" s="206"/>
      <c r="N6" s="206">
        <v>465320</v>
      </c>
      <c r="O6" s="206"/>
      <c r="P6" s="206">
        <v>11537</v>
      </c>
      <c r="Q6" s="206">
        <v>45786</v>
      </c>
      <c r="R6" s="206"/>
      <c r="S6" s="206">
        <v>27580</v>
      </c>
      <c r="T6" s="206"/>
      <c r="U6" s="206"/>
      <c r="V6" s="206">
        <v>13490</v>
      </c>
      <c r="W6" s="206"/>
    </row>
    <row r="7" spans="1:23" ht="17.25" customHeight="1">
      <c r="A7" s="158" t="s">
        <v>1668</v>
      </c>
      <c r="B7" s="204">
        <f>B6-B8</f>
        <v>-300041</v>
      </c>
      <c r="C7" s="204">
        <f t="shared" ref="C7:W7" si="0">C6-C8</f>
        <v>-3955</v>
      </c>
      <c r="D7" s="204">
        <f t="shared" si="0"/>
        <v>-270</v>
      </c>
      <c r="E7" s="204">
        <f t="shared" si="0"/>
        <v>-897</v>
      </c>
      <c r="F7" s="204">
        <f t="shared" si="0"/>
        <v>-6975</v>
      </c>
      <c r="G7" s="204">
        <f t="shared" si="0"/>
        <v>-20838</v>
      </c>
      <c r="H7" s="204">
        <f t="shared" si="0"/>
        <v>-70</v>
      </c>
      <c r="I7" s="204">
        <f t="shared" si="0"/>
        <v>-9661</v>
      </c>
      <c r="J7" s="204">
        <f t="shared" si="0"/>
        <v>-24656</v>
      </c>
      <c r="K7" s="204">
        <f t="shared" si="0"/>
        <v>-2387</v>
      </c>
      <c r="L7" s="204">
        <f t="shared" si="0"/>
        <v>-3268</v>
      </c>
      <c r="M7" s="204">
        <f t="shared" si="0"/>
        <v>-2000</v>
      </c>
      <c r="N7" s="204">
        <f t="shared" si="0"/>
        <v>-98545</v>
      </c>
      <c r="O7" s="204">
        <f t="shared" si="0"/>
        <v>-124986</v>
      </c>
      <c r="P7" s="204">
        <f t="shared" si="0"/>
        <v>7640</v>
      </c>
      <c r="Q7" s="204">
        <f t="shared" si="0"/>
        <v>18028</v>
      </c>
      <c r="R7" s="204">
        <f t="shared" si="0"/>
        <v>0</v>
      </c>
      <c r="S7" s="204">
        <f t="shared" si="0"/>
        <v>1560</v>
      </c>
      <c r="T7" s="204">
        <f t="shared" si="0"/>
        <v>-14316</v>
      </c>
      <c r="U7" s="204">
        <f t="shared" si="0"/>
        <v>-36</v>
      </c>
      <c r="V7" s="204">
        <f t="shared" si="0"/>
        <v>-1340</v>
      </c>
      <c r="W7" s="204">
        <f t="shared" si="0"/>
        <v>-13069</v>
      </c>
    </row>
    <row r="8" spans="1:23" ht="17.25" customHeight="1">
      <c r="A8" s="159" t="s">
        <v>1669</v>
      </c>
      <c r="B8" s="206">
        <f>SUM(B9,B21,B28,B43,B53,B63,B70,B82,B95,B108,B115,B130,B141,B147)</f>
        <v>960242</v>
      </c>
      <c r="C8" s="206">
        <f t="shared" ref="C8:W8" si="1">SUM(C9,C21,C28,C43,C53,C63,C70,C82,C95,C108,C115,C130,C141,C147)</f>
        <v>7986</v>
      </c>
      <c r="D8" s="206">
        <f t="shared" si="1"/>
        <v>270</v>
      </c>
      <c r="E8" s="206">
        <f t="shared" si="1"/>
        <v>1915</v>
      </c>
      <c r="F8" s="206">
        <f t="shared" si="1"/>
        <v>6975</v>
      </c>
      <c r="G8" s="206">
        <f t="shared" si="1"/>
        <v>20838</v>
      </c>
      <c r="H8" s="206">
        <f t="shared" si="1"/>
        <v>70</v>
      </c>
      <c r="I8" s="206">
        <f t="shared" si="1"/>
        <v>9661</v>
      </c>
      <c r="J8" s="206">
        <f t="shared" si="1"/>
        <v>24656</v>
      </c>
      <c r="K8" s="206">
        <f t="shared" si="1"/>
        <v>42870</v>
      </c>
      <c r="L8" s="206">
        <f t="shared" si="1"/>
        <v>54224</v>
      </c>
      <c r="M8" s="206">
        <f t="shared" si="1"/>
        <v>2000</v>
      </c>
      <c r="N8" s="206">
        <f t="shared" si="1"/>
        <v>563865</v>
      </c>
      <c r="O8" s="206">
        <f t="shared" si="1"/>
        <v>124986</v>
      </c>
      <c r="P8" s="206">
        <f t="shared" si="1"/>
        <v>3897</v>
      </c>
      <c r="Q8" s="206">
        <f t="shared" si="1"/>
        <v>27758</v>
      </c>
      <c r="R8" s="206">
        <f t="shared" si="1"/>
        <v>0</v>
      </c>
      <c r="S8" s="206">
        <f t="shared" si="1"/>
        <v>26020</v>
      </c>
      <c r="T8" s="206">
        <f t="shared" si="1"/>
        <v>14316</v>
      </c>
      <c r="U8" s="206">
        <f t="shared" si="1"/>
        <v>36</v>
      </c>
      <c r="V8" s="206">
        <f t="shared" si="1"/>
        <v>14830</v>
      </c>
      <c r="W8" s="206">
        <f t="shared" si="1"/>
        <v>13069</v>
      </c>
    </row>
    <row r="9" spans="1:23" s="132" customFormat="1" ht="17.25" customHeight="1">
      <c r="A9" s="160" t="s">
        <v>1550</v>
      </c>
      <c r="B9" s="220">
        <f>SUM(B10:B11)</f>
        <v>34457</v>
      </c>
      <c r="C9" s="220">
        <f>SUM(C10:C11)</f>
        <v>68</v>
      </c>
      <c r="D9" s="220">
        <f t="shared" ref="D9:W9" si="2">SUM(D10:D11)</f>
        <v>0</v>
      </c>
      <c r="E9" s="220">
        <f t="shared" si="2"/>
        <v>504</v>
      </c>
      <c r="F9" s="220">
        <f t="shared" si="2"/>
        <v>0</v>
      </c>
      <c r="G9" s="220">
        <f t="shared" si="2"/>
        <v>0</v>
      </c>
      <c r="H9" s="220">
        <f t="shared" si="2"/>
        <v>0</v>
      </c>
      <c r="I9" s="220">
        <f t="shared" si="2"/>
        <v>0</v>
      </c>
      <c r="J9" s="220">
        <f t="shared" si="2"/>
        <v>81</v>
      </c>
      <c r="K9" s="220">
        <f t="shared" si="2"/>
        <v>1677</v>
      </c>
      <c r="L9" s="220">
        <f t="shared" si="2"/>
        <v>10961</v>
      </c>
      <c r="M9" s="220">
        <f t="shared" si="2"/>
        <v>0</v>
      </c>
      <c r="N9" s="220">
        <f t="shared" si="2"/>
        <v>1642</v>
      </c>
      <c r="O9" s="220">
        <f t="shared" si="2"/>
        <v>0</v>
      </c>
      <c r="P9" s="220">
        <f t="shared" si="2"/>
        <v>2117</v>
      </c>
      <c r="Q9" s="220">
        <f t="shared" si="2"/>
        <v>13317</v>
      </c>
      <c r="R9" s="220">
        <f t="shared" si="2"/>
        <v>0</v>
      </c>
      <c r="S9" s="220">
        <f t="shared" si="2"/>
        <v>3200</v>
      </c>
      <c r="T9" s="220">
        <f t="shared" si="2"/>
        <v>0</v>
      </c>
      <c r="U9" s="220">
        <f t="shared" si="2"/>
        <v>0</v>
      </c>
      <c r="V9" s="220">
        <f t="shared" si="2"/>
        <v>890</v>
      </c>
      <c r="W9" s="220">
        <f t="shared" si="2"/>
        <v>0</v>
      </c>
    </row>
    <row r="10" spans="1:23" s="132" customFormat="1" ht="17.25" customHeight="1">
      <c r="A10" s="166" t="s">
        <v>1193</v>
      </c>
      <c r="B10" s="220">
        <f>SUM(C10:W10)</f>
        <v>32389</v>
      </c>
      <c r="C10" s="220">
        <v>68</v>
      </c>
      <c r="D10" s="220"/>
      <c r="E10" s="220">
        <v>504</v>
      </c>
      <c r="F10" s="220"/>
      <c r="G10" s="220"/>
      <c r="H10" s="220"/>
      <c r="I10" s="220"/>
      <c r="J10" s="220">
        <v>81</v>
      </c>
      <c r="K10" s="220">
        <v>1677</v>
      </c>
      <c r="L10" s="220">
        <v>10063</v>
      </c>
      <c r="M10" s="220"/>
      <c r="N10" s="220">
        <v>1472</v>
      </c>
      <c r="O10" s="220"/>
      <c r="P10" s="220">
        <v>1117</v>
      </c>
      <c r="Q10" s="220">
        <v>13317</v>
      </c>
      <c r="R10" s="220"/>
      <c r="S10" s="220">
        <v>3200</v>
      </c>
      <c r="T10" s="220"/>
      <c r="U10" s="220"/>
      <c r="V10" s="220">
        <v>890</v>
      </c>
      <c r="W10" s="220"/>
    </row>
    <row r="11" spans="1:23" s="132" customFormat="1" ht="17.25" customHeight="1">
      <c r="A11" s="166" t="s">
        <v>1551</v>
      </c>
      <c r="B11" s="220">
        <f t="shared" ref="B11:B17" si="3">SUM(C11:W11)</f>
        <v>2068</v>
      </c>
      <c r="C11" s="220">
        <f>SUM(C12:C20)</f>
        <v>0</v>
      </c>
      <c r="D11" s="220">
        <f t="shared" ref="D11:W11" si="4">SUM(D12:D20)</f>
        <v>0</v>
      </c>
      <c r="E11" s="220">
        <f t="shared" si="4"/>
        <v>0</v>
      </c>
      <c r="F11" s="220">
        <f t="shared" si="4"/>
        <v>0</v>
      </c>
      <c r="G11" s="220">
        <f t="shared" si="4"/>
        <v>0</v>
      </c>
      <c r="H11" s="220">
        <f t="shared" si="4"/>
        <v>0</v>
      </c>
      <c r="I11" s="220">
        <f t="shared" si="4"/>
        <v>0</v>
      </c>
      <c r="J11" s="220">
        <f t="shared" si="4"/>
        <v>0</v>
      </c>
      <c r="K11" s="220">
        <f t="shared" si="4"/>
        <v>0</v>
      </c>
      <c r="L11" s="220">
        <f t="shared" si="4"/>
        <v>898</v>
      </c>
      <c r="M11" s="220">
        <f t="shared" si="4"/>
        <v>0</v>
      </c>
      <c r="N11" s="220">
        <f t="shared" si="4"/>
        <v>170</v>
      </c>
      <c r="O11" s="220">
        <f t="shared" si="4"/>
        <v>0</v>
      </c>
      <c r="P11" s="220">
        <f t="shared" si="4"/>
        <v>1000</v>
      </c>
      <c r="Q11" s="220">
        <f t="shared" si="4"/>
        <v>0</v>
      </c>
      <c r="R11" s="220">
        <f t="shared" si="4"/>
        <v>0</v>
      </c>
      <c r="S11" s="220">
        <f t="shared" si="4"/>
        <v>0</v>
      </c>
      <c r="T11" s="220">
        <f t="shared" si="4"/>
        <v>0</v>
      </c>
      <c r="U11" s="220">
        <f t="shared" si="4"/>
        <v>0</v>
      </c>
      <c r="V11" s="220">
        <f t="shared" si="4"/>
        <v>0</v>
      </c>
      <c r="W11" s="220">
        <f t="shared" si="4"/>
        <v>0</v>
      </c>
    </row>
    <row r="12" spans="1:23" s="132" customFormat="1" ht="17.25" customHeight="1">
      <c r="A12" s="166" t="s">
        <v>1552</v>
      </c>
      <c r="B12" s="220">
        <f t="shared" si="3"/>
        <v>0</v>
      </c>
      <c r="C12" s="220"/>
      <c r="D12" s="220"/>
      <c r="E12" s="220"/>
      <c r="F12" s="220"/>
      <c r="G12" s="220"/>
      <c r="H12" s="220"/>
      <c r="I12" s="220"/>
      <c r="J12" s="220"/>
      <c r="K12" s="220"/>
      <c r="L12" s="220"/>
      <c r="M12" s="220"/>
      <c r="N12" s="220"/>
      <c r="O12" s="220"/>
      <c r="P12" s="220"/>
      <c r="Q12" s="220"/>
      <c r="R12" s="220"/>
      <c r="S12" s="220"/>
      <c r="T12" s="220"/>
      <c r="U12" s="220"/>
      <c r="V12" s="220"/>
      <c r="W12" s="220"/>
    </row>
    <row r="13" spans="1:23" s="132" customFormat="1" ht="17.25" customHeight="1">
      <c r="A13" s="166" t="s">
        <v>1553</v>
      </c>
      <c r="B13" s="220">
        <f t="shared" si="3"/>
        <v>0</v>
      </c>
      <c r="C13" s="220"/>
      <c r="D13" s="220"/>
      <c r="E13" s="220"/>
      <c r="F13" s="220"/>
      <c r="G13" s="220"/>
      <c r="H13" s="220"/>
      <c r="I13" s="220"/>
      <c r="J13" s="220"/>
      <c r="K13" s="220"/>
      <c r="L13" s="220"/>
      <c r="M13" s="220"/>
      <c r="N13" s="220"/>
      <c r="O13" s="220"/>
      <c r="P13" s="220"/>
      <c r="Q13" s="220"/>
      <c r="R13" s="220"/>
      <c r="S13" s="220"/>
      <c r="T13" s="220"/>
      <c r="U13" s="220"/>
      <c r="V13" s="220"/>
      <c r="W13" s="220"/>
    </row>
    <row r="14" spans="1:23" s="132" customFormat="1" ht="17.25" customHeight="1">
      <c r="A14" s="166" t="s">
        <v>1554</v>
      </c>
      <c r="B14" s="220">
        <f t="shared" si="3"/>
        <v>0</v>
      </c>
      <c r="C14" s="220"/>
      <c r="D14" s="220"/>
      <c r="E14" s="220"/>
      <c r="F14" s="220"/>
      <c r="G14" s="220"/>
      <c r="H14" s="220"/>
      <c r="I14" s="220"/>
      <c r="J14" s="220"/>
      <c r="K14" s="220"/>
      <c r="L14" s="220"/>
      <c r="M14" s="220"/>
      <c r="N14" s="220"/>
      <c r="O14" s="220"/>
      <c r="P14" s="220"/>
      <c r="Q14" s="220"/>
      <c r="R14" s="220"/>
      <c r="S14" s="220"/>
      <c r="T14" s="220"/>
      <c r="U14" s="220"/>
      <c r="V14" s="220"/>
      <c r="W14" s="220"/>
    </row>
    <row r="15" spans="1:23" s="132" customFormat="1" ht="17.25" customHeight="1">
      <c r="A15" s="166" t="s">
        <v>1555</v>
      </c>
      <c r="B15" s="220">
        <f t="shared" si="3"/>
        <v>0</v>
      </c>
      <c r="C15" s="220"/>
      <c r="D15" s="220"/>
      <c r="E15" s="220"/>
      <c r="F15" s="220"/>
      <c r="G15" s="220"/>
      <c r="H15" s="220"/>
      <c r="I15" s="220"/>
      <c r="J15" s="220"/>
      <c r="K15" s="220"/>
      <c r="L15" s="220"/>
      <c r="M15" s="220"/>
      <c r="N15" s="220"/>
      <c r="O15" s="220"/>
      <c r="P15" s="220"/>
      <c r="Q15" s="220"/>
      <c r="R15" s="220"/>
      <c r="S15" s="220"/>
      <c r="T15" s="220"/>
      <c r="U15" s="220"/>
      <c r="V15" s="220"/>
      <c r="W15" s="220"/>
    </row>
    <row r="16" spans="1:23" s="132" customFormat="1" ht="17.25" customHeight="1">
      <c r="A16" s="166" t="s">
        <v>1556</v>
      </c>
      <c r="B16" s="220">
        <f t="shared" si="3"/>
        <v>0</v>
      </c>
      <c r="C16" s="220"/>
      <c r="D16" s="220"/>
      <c r="E16" s="220"/>
      <c r="F16" s="220"/>
      <c r="G16" s="220"/>
      <c r="H16" s="220"/>
      <c r="I16" s="220"/>
      <c r="J16" s="220"/>
      <c r="K16" s="220"/>
      <c r="L16" s="220"/>
      <c r="M16" s="220"/>
      <c r="N16" s="220"/>
      <c r="O16" s="220"/>
      <c r="P16" s="220"/>
      <c r="Q16" s="220"/>
      <c r="R16" s="220"/>
      <c r="S16" s="220"/>
      <c r="T16" s="220"/>
      <c r="U16" s="220"/>
      <c r="V16" s="220"/>
      <c r="W16" s="220"/>
    </row>
    <row r="17" spans="1:23" s="132" customFormat="1" ht="17.25" customHeight="1">
      <c r="A17" s="166" t="s">
        <v>1557</v>
      </c>
      <c r="B17" s="220">
        <f t="shared" si="3"/>
        <v>0</v>
      </c>
      <c r="C17" s="220"/>
      <c r="D17" s="220"/>
      <c r="E17" s="220"/>
      <c r="F17" s="220"/>
      <c r="G17" s="220"/>
      <c r="H17" s="220"/>
      <c r="I17" s="220"/>
      <c r="J17" s="220"/>
      <c r="K17" s="220"/>
      <c r="L17" s="220"/>
      <c r="M17" s="220"/>
      <c r="N17" s="220"/>
      <c r="O17" s="220"/>
      <c r="P17" s="220"/>
      <c r="Q17" s="220"/>
      <c r="R17" s="220"/>
      <c r="S17" s="220"/>
      <c r="T17" s="220"/>
      <c r="U17" s="220"/>
      <c r="V17" s="220"/>
      <c r="W17" s="220"/>
    </row>
    <row r="18" spans="1:23" s="132" customFormat="1" ht="15.95" customHeight="1">
      <c r="A18" s="166" t="s">
        <v>1558</v>
      </c>
      <c r="B18" s="220">
        <f>SUM(C18:W18)</f>
        <v>1048</v>
      </c>
      <c r="C18" s="220"/>
      <c r="D18" s="220"/>
      <c r="E18" s="220"/>
      <c r="F18" s="220"/>
      <c r="G18" s="220"/>
      <c r="H18" s="220"/>
      <c r="I18" s="220"/>
      <c r="J18" s="220"/>
      <c r="K18" s="220"/>
      <c r="L18" s="220">
        <v>898</v>
      </c>
      <c r="M18" s="220"/>
      <c r="N18" s="220">
        <v>150</v>
      </c>
      <c r="O18" s="220"/>
      <c r="P18" s="220"/>
      <c r="Q18" s="220"/>
      <c r="R18" s="220"/>
      <c r="S18" s="220"/>
      <c r="T18" s="220"/>
      <c r="U18" s="220"/>
      <c r="V18" s="220"/>
      <c r="W18" s="220"/>
    </row>
    <row r="19" spans="1:23" s="133" customFormat="1" ht="15.95" customHeight="1">
      <c r="A19" s="166" t="s">
        <v>1559</v>
      </c>
      <c r="B19" s="221">
        <f>SUM(C19:W19)</f>
        <v>20</v>
      </c>
      <c r="C19" s="220"/>
      <c r="D19" s="220"/>
      <c r="E19" s="220"/>
      <c r="F19" s="220"/>
      <c r="G19" s="220"/>
      <c r="H19" s="220"/>
      <c r="I19" s="220"/>
      <c r="J19" s="220"/>
      <c r="K19" s="220"/>
      <c r="L19" s="220"/>
      <c r="M19" s="220"/>
      <c r="N19" s="220">
        <v>20</v>
      </c>
      <c r="O19" s="220"/>
      <c r="P19" s="220"/>
      <c r="Q19" s="220"/>
      <c r="R19" s="220"/>
      <c r="S19" s="220"/>
      <c r="T19" s="220"/>
      <c r="U19" s="220"/>
      <c r="V19" s="220"/>
      <c r="W19" s="220"/>
    </row>
    <row r="20" spans="1:23" s="134" customFormat="1" ht="15.95" customHeight="1">
      <c r="A20" s="166" t="s">
        <v>1560</v>
      </c>
      <c r="B20" s="221">
        <f>SUM(C20:W20)</f>
        <v>1000</v>
      </c>
      <c r="C20" s="220"/>
      <c r="D20" s="220"/>
      <c r="E20" s="220"/>
      <c r="F20" s="220"/>
      <c r="G20" s="220"/>
      <c r="H20" s="220"/>
      <c r="I20" s="220"/>
      <c r="J20" s="220"/>
      <c r="K20" s="220"/>
      <c r="L20" s="220"/>
      <c r="M20" s="220"/>
      <c r="N20" s="220"/>
      <c r="O20" s="220"/>
      <c r="P20" s="220">
        <v>1000</v>
      </c>
      <c r="Q20" s="220"/>
      <c r="R20" s="220"/>
      <c r="S20" s="220"/>
      <c r="T20" s="220"/>
      <c r="U20" s="220"/>
      <c r="V20" s="220"/>
      <c r="W20" s="220"/>
    </row>
    <row r="21" spans="1:23" s="132" customFormat="1" ht="17.25" customHeight="1">
      <c r="A21" s="161" t="s">
        <v>1561</v>
      </c>
      <c r="B21" s="215">
        <f>B22+B23</f>
        <v>1973</v>
      </c>
      <c r="C21" s="215">
        <f t="shared" ref="C21:W21" si="5">C22+C23</f>
        <v>9</v>
      </c>
      <c r="D21" s="215">
        <f t="shared" si="5"/>
        <v>0</v>
      </c>
      <c r="E21" s="215">
        <f t="shared" si="5"/>
        <v>0</v>
      </c>
      <c r="F21" s="215">
        <f t="shared" si="5"/>
        <v>0</v>
      </c>
      <c r="G21" s="215">
        <f t="shared" si="5"/>
        <v>0</v>
      </c>
      <c r="H21" s="215">
        <f t="shared" si="5"/>
        <v>0</v>
      </c>
      <c r="I21" s="215">
        <f t="shared" si="5"/>
        <v>0</v>
      </c>
      <c r="J21" s="215">
        <f t="shared" si="5"/>
        <v>25</v>
      </c>
      <c r="K21" s="215">
        <f t="shared" si="5"/>
        <v>308</v>
      </c>
      <c r="L21" s="215">
        <f t="shared" si="5"/>
        <v>0</v>
      </c>
      <c r="M21" s="215">
        <f t="shared" si="5"/>
        <v>0</v>
      </c>
      <c r="N21" s="215">
        <f t="shared" si="5"/>
        <v>349</v>
      </c>
      <c r="O21" s="215">
        <f t="shared" si="5"/>
        <v>0</v>
      </c>
      <c r="P21" s="215">
        <f t="shared" si="5"/>
        <v>259</v>
      </c>
      <c r="Q21" s="215">
        <f t="shared" si="5"/>
        <v>673</v>
      </c>
      <c r="R21" s="215">
        <f t="shared" si="5"/>
        <v>0</v>
      </c>
      <c r="S21" s="215">
        <f t="shared" si="5"/>
        <v>350</v>
      </c>
      <c r="T21" s="215">
        <f t="shared" si="5"/>
        <v>0</v>
      </c>
      <c r="U21" s="215">
        <f t="shared" si="5"/>
        <v>0</v>
      </c>
      <c r="V21" s="215">
        <f t="shared" si="5"/>
        <v>0</v>
      </c>
      <c r="W21" s="215">
        <f t="shared" si="5"/>
        <v>0</v>
      </c>
    </row>
    <row r="22" spans="1:23" s="132" customFormat="1" ht="17.25" customHeight="1">
      <c r="A22" s="167" t="s">
        <v>1562</v>
      </c>
      <c r="B22" s="215">
        <f>SUM(C22:W22)</f>
        <v>1516</v>
      </c>
      <c r="C22" s="215">
        <v>9</v>
      </c>
      <c r="D22" s="215"/>
      <c r="E22" s="215"/>
      <c r="F22" s="215"/>
      <c r="G22" s="215"/>
      <c r="H22" s="215"/>
      <c r="I22" s="215"/>
      <c r="J22" s="215">
        <v>25</v>
      </c>
      <c r="K22" s="215">
        <v>170</v>
      </c>
      <c r="L22" s="215"/>
      <c r="M22" s="215"/>
      <c r="N22" s="215">
        <v>30</v>
      </c>
      <c r="O22" s="215"/>
      <c r="P22" s="215">
        <v>259</v>
      </c>
      <c r="Q22" s="215">
        <v>673</v>
      </c>
      <c r="R22" s="215"/>
      <c r="S22" s="215">
        <v>350</v>
      </c>
      <c r="T22" s="215"/>
      <c r="U22" s="215"/>
      <c r="V22" s="215"/>
      <c r="W22" s="215"/>
    </row>
    <row r="23" spans="1:23" s="132" customFormat="1" ht="17.25" customHeight="1">
      <c r="A23" s="167" t="s">
        <v>1194</v>
      </c>
      <c r="B23" s="215">
        <f t="shared" ref="B23:B27" si="6">SUM(C23:W23)</f>
        <v>457</v>
      </c>
      <c r="C23" s="215">
        <f>SUM(C24:C27)</f>
        <v>0</v>
      </c>
      <c r="D23" s="215">
        <f t="shared" ref="D23:W23" si="7">SUM(D24:D27)</f>
        <v>0</v>
      </c>
      <c r="E23" s="215">
        <f t="shared" si="7"/>
        <v>0</v>
      </c>
      <c r="F23" s="215">
        <f t="shared" si="7"/>
        <v>0</v>
      </c>
      <c r="G23" s="215">
        <f t="shared" si="7"/>
        <v>0</v>
      </c>
      <c r="H23" s="215">
        <f t="shared" si="7"/>
        <v>0</v>
      </c>
      <c r="I23" s="215">
        <f t="shared" si="7"/>
        <v>0</v>
      </c>
      <c r="J23" s="215">
        <f t="shared" si="7"/>
        <v>0</v>
      </c>
      <c r="K23" s="215">
        <f t="shared" si="7"/>
        <v>138</v>
      </c>
      <c r="L23" s="215">
        <f t="shared" si="7"/>
        <v>0</v>
      </c>
      <c r="M23" s="215">
        <f t="shared" si="7"/>
        <v>0</v>
      </c>
      <c r="N23" s="215">
        <f t="shared" si="7"/>
        <v>319</v>
      </c>
      <c r="O23" s="215">
        <f t="shared" si="7"/>
        <v>0</v>
      </c>
      <c r="P23" s="215">
        <f t="shared" si="7"/>
        <v>0</v>
      </c>
      <c r="Q23" s="215">
        <f t="shared" si="7"/>
        <v>0</v>
      </c>
      <c r="R23" s="215">
        <f t="shared" si="7"/>
        <v>0</v>
      </c>
      <c r="S23" s="215">
        <f t="shared" si="7"/>
        <v>0</v>
      </c>
      <c r="T23" s="215">
        <f t="shared" si="7"/>
        <v>0</v>
      </c>
      <c r="U23" s="215">
        <f t="shared" si="7"/>
        <v>0</v>
      </c>
      <c r="V23" s="215">
        <f t="shared" si="7"/>
        <v>0</v>
      </c>
      <c r="W23" s="215">
        <f t="shared" si="7"/>
        <v>0</v>
      </c>
    </row>
    <row r="24" spans="1:23" s="132" customFormat="1" ht="17.25" customHeight="1">
      <c r="A24" s="167" t="s">
        <v>1563</v>
      </c>
      <c r="B24" s="215">
        <f t="shared" si="6"/>
        <v>393</v>
      </c>
      <c r="C24" s="218"/>
      <c r="D24" s="218"/>
      <c r="E24" s="218"/>
      <c r="F24" s="218"/>
      <c r="G24" s="218"/>
      <c r="H24" s="218"/>
      <c r="I24" s="218"/>
      <c r="J24" s="218"/>
      <c r="K24" s="218">
        <v>74</v>
      </c>
      <c r="L24" s="218"/>
      <c r="M24" s="218"/>
      <c r="N24" s="218">
        <v>319</v>
      </c>
      <c r="O24" s="218"/>
      <c r="P24" s="218"/>
      <c r="Q24" s="218"/>
      <c r="R24" s="218"/>
      <c r="S24" s="218"/>
      <c r="T24" s="218"/>
      <c r="U24" s="218"/>
      <c r="V24" s="218"/>
      <c r="W24" s="218"/>
    </row>
    <row r="25" spans="1:23" s="132" customFormat="1" ht="17.25" customHeight="1">
      <c r="A25" s="167" t="s">
        <v>1564</v>
      </c>
      <c r="B25" s="215">
        <f t="shared" si="6"/>
        <v>23</v>
      </c>
      <c r="C25" s="218"/>
      <c r="D25" s="218"/>
      <c r="E25" s="218"/>
      <c r="F25" s="218"/>
      <c r="G25" s="218"/>
      <c r="H25" s="218"/>
      <c r="I25" s="218"/>
      <c r="J25" s="218"/>
      <c r="K25" s="218">
        <v>23</v>
      </c>
      <c r="L25" s="218"/>
      <c r="M25" s="218"/>
      <c r="N25" s="218"/>
      <c r="O25" s="218"/>
      <c r="P25" s="218"/>
      <c r="Q25" s="218"/>
      <c r="R25" s="218"/>
      <c r="S25" s="218"/>
      <c r="T25" s="218"/>
      <c r="U25" s="218"/>
      <c r="V25" s="218"/>
      <c r="W25" s="218"/>
    </row>
    <row r="26" spans="1:23" s="132" customFormat="1" ht="17.25" customHeight="1">
      <c r="A26" s="167" t="s">
        <v>1565</v>
      </c>
      <c r="B26" s="215">
        <f t="shared" si="6"/>
        <v>20</v>
      </c>
      <c r="C26" s="218"/>
      <c r="D26" s="218"/>
      <c r="E26" s="218"/>
      <c r="F26" s="218"/>
      <c r="G26" s="218"/>
      <c r="H26" s="218"/>
      <c r="I26" s="218"/>
      <c r="J26" s="218"/>
      <c r="K26" s="218">
        <v>20</v>
      </c>
      <c r="L26" s="218"/>
      <c r="M26" s="218"/>
      <c r="N26" s="218"/>
      <c r="O26" s="218"/>
      <c r="P26" s="218"/>
      <c r="Q26" s="218"/>
      <c r="R26" s="218"/>
      <c r="S26" s="218"/>
      <c r="T26" s="218"/>
      <c r="U26" s="218"/>
      <c r="V26" s="218"/>
      <c r="W26" s="218"/>
    </row>
    <row r="27" spans="1:23" s="132" customFormat="1" ht="17.25" customHeight="1">
      <c r="A27" s="168" t="s">
        <v>1566</v>
      </c>
      <c r="B27" s="215">
        <f t="shared" si="6"/>
        <v>21</v>
      </c>
      <c r="C27" s="218"/>
      <c r="D27" s="218"/>
      <c r="E27" s="218"/>
      <c r="F27" s="218"/>
      <c r="G27" s="218"/>
      <c r="H27" s="218"/>
      <c r="I27" s="218"/>
      <c r="J27" s="218"/>
      <c r="K27" s="218">
        <v>21</v>
      </c>
      <c r="L27" s="218"/>
      <c r="M27" s="218"/>
      <c r="N27" s="218"/>
      <c r="O27" s="218"/>
      <c r="P27" s="218"/>
      <c r="Q27" s="218"/>
      <c r="R27" s="218"/>
      <c r="S27" s="218"/>
      <c r="T27" s="218"/>
      <c r="U27" s="218"/>
      <c r="V27" s="218"/>
      <c r="W27" s="218"/>
    </row>
    <row r="28" spans="1:23" s="137" customFormat="1" ht="17.25" customHeight="1">
      <c r="A28" s="163" t="s">
        <v>1567</v>
      </c>
      <c r="B28" s="215">
        <v>15252</v>
      </c>
      <c r="C28" s="218">
        <v>67</v>
      </c>
      <c r="D28" s="218">
        <v>0</v>
      </c>
      <c r="E28" s="218">
        <v>0</v>
      </c>
      <c r="F28" s="218">
        <v>0</v>
      </c>
      <c r="G28" s="218">
        <v>0</v>
      </c>
      <c r="H28" s="218">
        <v>0</v>
      </c>
      <c r="I28" s="218">
        <v>0</v>
      </c>
      <c r="J28" s="218">
        <v>58</v>
      </c>
      <c r="K28" s="218">
        <v>2399</v>
      </c>
      <c r="L28" s="218">
        <v>458</v>
      </c>
      <c r="M28" s="218">
        <v>0</v>
      </c>
      <c r="N28" s="218">
        <v>4538</v>
      </c>
      <c r="O28" s="218">
        <v>0</v>
      </c>
      <c r="P28" s="218">
        <v>395</v>
      </c>
      <c r="Q28" s="218">
        <v>3787</v>
      </c>
      <c r="R28" s="218">
        <v>0</v>
      </c>
      <c r="S28" s="218">
        <v>1000</v>
      </c>
      <c r="T28" s="218">
        <v>0</v>
      </c>
      <c r="U28" s="218">
        <v>0</v>
      </c>
      <c r="V28" s="218">
        <v>2550</v>
      </c>
      <c r="W28" s="218">
        <v>0</v>
      </c>
    </row>
    <row r="29" spans="1:23" s="137" customFormat="1" ht="17.25" customHeight="1">
      <c r="A29" s="169" t="s">
        <v>1568</v>
      </c>
      <c r="B29" s="215">
        <v>4064</v>
      </c>
      <c r="C29" s="215">
        <v>67</v>
      </c>
      <c r="D29" s="215"/>
      <c r="E29" s="215"/>
      <c r="F29" s="215"/>
      <c r="G29" s="215"/>
      <c r="H29" s="215"/>
      <c r="I29" s="215"/>
      <c r="J29" s="215">
        <v>2</v>
      </c>
      <c r="K29" s="215">
        <v>770</v>
      </c>
      <c r="L29" s="215">
        <v>388</v>
      </c>
      <c r="M29" s="215"/>
      <c r="N29" s="215">
        <v>1537</v>
      </c>
      <c r="O29" s="215"/>
      <c r="P29" s="215"/>
      <c r="Q29" s="215"/>
      <c r="R29" s="215"/>
      <c r="S29" s="215"/>
      <c r="T29" s="215"/>
      <c r="U29" s="215"/>
      <c r="V29" s="215">
        <v>1300</v>
      </c>
      <c r="W29" s="215"/>
    </row>
    <row r="30" spans="1:23" ht="17.25" customHeight="1">
      <c r="A30" s="167" t="s">
        <v>1569</v>
      </c>
      <c r="B30" s="215">
        <v>120</v>
      </c>
      <c r="C30" s="218"/>
      <c r="D30" s="218"/>
      <c r="E30" s="218"/>
      <c r="F30" s="218"/>
      <c r="G30" s="218"/>
      <c r="H30" s="218"/>
      <c r="I30" s="218"/>
      <c r="J30" s="218"/>
      <c r="K30" s="218"/>
      <c r="L30" s="218"/>
      <c r="M30" s="218"/>
      <c r="N30" s="218"/>
      <c r="O30" s="218"/>
      <c r="P30" s="218"/>
      <c r="Q30" s="218">
        <v>20</v>
      </c>
      <c r="R30" s="218">
        <v>0</v>
      </c>
      <c r="S30" s="218">
        <v>100</v>
      </c>
      <c r="T30" s="218">
        <v>0</v>
      </c>
      <c r="U30" s="218">
        <v>0</v>
      </c>
      <c r="V30" s="218">
        <v>0</v>
      </c>
      <c r="W30" s="218">
        <v>0</v>
      </c>
    </row>
    <row r="31" spans="1:23" ht="17.25" customHeight="1">
      <c r="A31" s="167" t="s">
        <v>1194</v>
      </c>
      <c r="B31" s="215">
        <v>11068</v>
      </c>
      <c r="C31" s="218">
        <v>0</v>
      </c>
      <c r="D31" s="218">
        <v>0</v>
      </c>
      <c r="E31" s="218">
        <v>0</v>
      </c>
      <c r="F31" s="218">
        <v>0</v>
      </c>
      <c r="G31" s="218">
        <v>0</v>
      </c>
      <c r="H31" s="218">
        <v>0</v>
      </c>
      <c r="I31" s="218">
        <v>0</v>
      </c>
      <c r="J31" s="218">
        <v>56</v>
      </c>
      <c r="K31" s="218">
        <v>1629</v>
      </c>
      <c r="L31" s="218">
        <v>70</v>
      </c>
      <c r="M31" s="218">
        <v>0</v>
      </c>
      <c r="N31" s="218">
        <v>3001</v>
      </c>
      <c r="O31" s="218">
        <v>0</v>
      </c>
      <c r="P31" s="218">
        <v>395</v>
      </c>
      <c r="Q31" s="218">
        <v>3767</v>
      </c>
      <c r="R31" s="218">
        <v>0</v>
      </c>
      <c r="S31" s="218">
        <v>900</v>
      </c>
      <c r="T31" s="218">
        <v>0</v>
      </c>
      <c r="U31" s="218">
        <v>0</v>
      </c>
      <c r="V31" s="218">
        <v>1250</v>
      </c>
      <c r="W31" s="218">
        <v>0</v>
      </c>
    </row>
    <row r="32" spans="1:23" ht="17.25" customHeight="1">
      <c r="A32" s="167" t="s">
        <v>1570</v>
      </c>
      <c r="B32" s="215">
        <v>1558</v>
      </c>
      <c r="C32" s="218"/>
      <c r="D32" s="218"/>
      <c r="E32" s="218"/>
      <c r="F32" s="218"/>
      <c r="G32" s="218"/>
      <c r="H32" s="218"/>
      <c r="I32" s="218"/>
      <c r="J32" s="218">
        <v>7</v>
      </c>
      <c r="K32" s="218">
        <v>356</v>
      </c>
      <c r="L32" s="218"/>
      <c r="M32" s="218"/>
      <c r="N32" s="218">
        <v>285</v>
      </c>
      <c r="O32" s="218"/>
      <c r="P32" s="218">
        <v>130</v>
      </c>
      <c r="Q32" s="218">
        <v>700</v>
      </c>
      <c r="R32" s="218"/>
      <c r="S32" s="218"/>
      <c r="T32" s="218"/>
      <c r="U32" s="218"/>
      <c r="V32" s="218">
        <v>80</v>
      </c>
      <c r="W32" s="218"/>
    </row>
    <row r="33" spans="1:23" ht="17.25" customHeight="1">
      <c r="A33" s="167" t="s">
        <v>1571</v>
      </c>
      <c r="B33" s="215">
        <v>493</v>
      </c>
      <c r="C33" s="218"/>
      <c r="D33" s="218"/>
      <c r="E33" s="218"/>
      <c r="F33" s="218"/>
      <c r="G33" s="218"/>
      <c r="H33" s="218"/>
      <c r="I33" s="218"/>
      <c r="J33" s="218">
        <v>4</v>
      </c>
      <c r="K33" s="218">
        <v>56</v>
      </c>
      <c r="L33" s="218">
        <v>70</v>
      </c>
      <c r="M33" s="218"/>
      <c r="N33" s="218">
        <v>108</v>
      </c>
      <c r="O33" s="218"/>
      <c r="P33" s="218">
        <v>95</v>
      </c>
      <c r="Q33" s="218">
        <v>100</v>
      </c>
      <c r="R33" s="218"/>
      <c r="S33" s="218"/>
      <c r="T33" s="218"/>
      <c r="U33" s="218"/>
      <c r="V33" s="218">
        <v>60</v>
      </c>
      <c r="W33" s="218"/>
    </row>
    <row r="34" spans="1:23" ht="17.25" customHeight="1">
      <c r="A34" s="167" t="s">
        <v>1572</v>
      </c>
      <c r="B34" s="215">
        <v>2657</v>
      </c>
      <c r="C34" s="218"/>
      <c r="D34" s="218"/>
      <c r="E34" s="218"/>
      <c r="F34" s="218"/>
      <c r="G34" s="218"/>
      <c r="H34" s="218"/>
      <c r="I34" s="218"/>
      <c r="J34" s="218">
        <v>4</v>
      </c>
      <c r="K34" s="218">
        <v>24</v>
      </c>
      <c r="L34" s="218"/>
      <c r="M34" s="218"/>
      <c r="N34" s="218">
        <v>79</v>
      </c>
      <c r="O34" s="218"/>
      <c r="P34" s="218">
        <v>50</v>
      </c>
      <c r="Q34" s="218">
        <v>2500</v>
      </c>
      <c r="R34" s="218"/>
      <c r="S34" s="218"/>
      <c r="T34" s="218"/>
      <c r="U34" s="218"/>
      <c r="V34" s="218"/>
      <c r="W34" s="218"/>
    </row>
    <row r="35" spans="1:23" ht="17.25" customHeight="1">
      <c r="A35" s="168" t="s">
        <v>1573</v>
      </c>
      <c r="B35" s="215">
        <v>1045</v>
      </c>
      <c r="C35" s="218"/>
      <c r="D35" s="218"/>
      <c r="E35" s="218"/>
      <c r="F35" s="218"/>
      <c r="G35" s="218"/>
      <c r="H35" s="218"/>
      <c r="I35" s="218"/>
      <c r="J35" s="218">
        <v>6</v>
      </c>
      <c r="K35" s="218">
        <v>209</v>
      </c>
      <c r="L35" s="218"/>
      <c r="M35" s="218"/>
      <c r="N35" s="218">
        <v>360</v>
      </c>
      <c r="O35" s="218"/>
      <c r="P35" s="218">
        <v>20</v>
      </c>
      <c r="Q35" s="218">
        <v>100</v>
      </c>
      <c r="R35" s="218"/>
      <c r="S35" s="218">
        <v>350</v>
      </c>
      <c r="T35" s="218"/>
      <c r="U35" s="218"/>
      <c r="V35" s="218"/>
      <c r="W35" s="218"/>
    </row>
    <row r="36" spans="1:23" ht="17.25" customHeight="1">
      <c r="A36" s="168" t="s">
        <v>1574</v>
      </c>
      <c r="B36" s="215">
        <v>781</v>
      </c>
      <c r="C36" s="218"/>
      <c r="D36" s="218"/>
      <c r="E36" s="218"/>
      <c r="F36" s="218"/>
      <c r="G36" s="218"/>
      <c r="H36" s="218"/>
      <c r="I36" s="218"/>
      <c r="J36" s="218">
        <v>4</v>
      </c>
      <c r="K36" s="218">
        <v>296</v>
      </c>
      <c r="L36" s="218"/>
      <c r="M36" s="218"/>
      <c r="N36" s="218">
        <v>271</v>
      </c>
      <c r="O36" s="218"/>
      <c r="P36" s="218">
        <v>20</v>
      </c>
      <c r="Q36" s="218">
        <v>100</v>
      </c>
      <c r="R36" s="218"/>
      <c r="S36" s="218"/>
      <c r="T36" s="218"/>
      <c r="U36" s="218"/>
      <c r="V36" s="218">
        <v>90</v>
      </c>
      <c r="W36" s="218"/>
    </row>
    <row r="37" spans="1:23" ht="15.95" customHeight="1">
      <c r="A37" s="168" t="s">
        <v>1575</v>
      </c>
      <c r="B37" s="215">
        <v>596</v>
      </c>
      <c r="C37" s="218"/>
      <c r="D37" s="218"/>
      <c r="E37" s="218"/>
      <c r="F37" s="218"/>
      <c r="G37" s="218"/>
      <c r="H37" s="218"/>
      <c r="I37" s="218"/>
      <c r="J37" s="218">
        <v>6</v>
      </c>
      <c r="K37" s="218">
        <v>174</v>
      </c>
      <c r="L37" s="218"/>
      <c r="M37" s="218"/>
      <c r="N37" s="218">
        <v>306</v>
      </c>
      <c r="O37" s="218"/>
      <c r="P37" s="218">
        <v>10</v>
      </c>
      <c r="Q37" s="218">
        <v>100</v>
      </c>
      <c r="R37" s="218"/>
      <c r="S37" s="218"/>
      <c r="T37" s="218"/>
      <c r="U37" s="218"/>
      <c r="V37" s="218"/>
      <c r="W37" s="218"/>
    </row>
    <row r="38" spans="1:23" ht="15.95" customHeight="1">
      <c r="A38" s="168" t="s">
        <v>1576</v>
      </c>
      <c r="B38" s="215">
        <v>911</v>
      </c>
      <c r="C38" s="218"/>
      <c r="D38" s="218"/>
      <c r="E38" s="218"/>
      <c r="F38" s="218"/>
      <c r="G38" s="218"/>
      <c r="H38" s="218"/>
      <c r="I38" s="218"/>
      <c r="J38" s="218">
        <v>5</v>
      </c>
      <c r="K38" s="218">
        <v>86</v>
      </c>
      <c r="L38" s="218"/>
      <c r="M38" s="218"/>
      <c r="N38" s="218">
        <v>650</v>
      </c>
      <c r="O38" s="218"/>
      <c r="P38" s="218">
        <v>20</v>
      </c>
      <c r="Q38" s="218"/>
      <c r="R38" s="218"/>
      <c r="S38" s="218">
        <v>150</v>
      </c>
      <c r="T38" s="218"/>
      <c r="U38" s="218"/>
      <c r="V38" s="218"/>
      <c r="W38" s="218"/>
    </row>
    <row r="39" spans="1:23" ht="15.95" customHeight="1">
      <c r="A39" s="168" t="s">
        <v>1577</v>
      </c>
      <c r="B39" s="215">
        <v>477</v>
      </c>
      <c r="C39" s="218"/>
      <c r="D39" s="218"/>
      <c r="E39" s="218"/>
      <c r="F39" s="218"/>
      <c r="G39" s="218"/>
      <c r="H39" s="218"/>
      <c r="I39" s="218"/>
      <c r="J39" s="218">
        <v>5</v>
      </c>
      <c r="K39" s="218">
        <v>88</v>
      </c>
      <c r="L39" s="218"/>
      <c r="M39" s="218"/>
      <c r="N39" s="218">
        <v>324</v>
      </c>
      <c r="O39" s="218"/>
      <c r="P39" s="218">
        <v>10</v>
      </c>
      <c r="Q39" s="218">
        <v>50</v>
      </c>
      <c r="R39" s="218"/>
      <c r="S39" s="218"/>
      <c r="T39" s="218"/>
      <c r="U39" s="218"/>
      <c r="V39" s="218"/>
      <c r="W39" s="218"/>
    </row>
    <row r="40" spans="1:23" ht="15.95" customHeight="1">
      <c r="A40" s="168" t="s">
        <v>1578</v>
      </c>
      <c r="B40" s="215">
        <v>1296</v>
      </c>
      <c r="C40" s="218">
        <v>0</v>
      </c>
      <c r="D40" s="218">
        <v>0</v>
      </c>
      <c r="E40" s="218">
        <v>0</v>
      </c>
      <c r="F40" s="218">
        <v>0</v>
      </c>
      <c r="G40" s="218">
        <v>0</v>
      </c>
      <c r="H40" s="218">
        <v>0</v>
      </c>
      <c r="I40" s="218">
        <v>0</v>
      </c>
      <c r="J40" s="218">
        <v>6</v>
      </c>
      <c r="K40" s="218">
        <v>168</v>
      </c>
      <c r="L40" s="218">
        <v>0</v>
      </c>
      <c r="M40" s="218">
        <v>0</v>
      </c>
      <c r="N40" s="218">
        <v>152</v>
      </c>
      <c r="O40" s="218">
        <v>0</v>
      </c>
      <c r="P40" s="218">
        <v>20</v>
      </c>
      <c r="Q40" s="218">
        <v>50</v>
      </c>
      <c r="R40" s="218">
        <v>0</v>
      </c>
      <c r="S40" s="218">
        <v>0</v>
      </c>
      <c r="T40" s="218">
        <v>0</v>
      </c>
      <c r="U40" s="218">
        <v>0</v>
      </c>
      <c r="V40" s="218">
        <v>900</v>
      </c>
      <c r="W40" s="218">
        <v>0</v>
      </c>
    </row>
    <row r="41" spans="1:23" ht="15.95" customHeight="1">
      <c r="A41" s="168" t="s">
        <v>1579</v>
      </c>
      <c r="B41" s="215">
        <v>447</v>
      </c>
      <c r="C41" s="218">
        <v>0</v>
      </c>
      <c r="D41" s="218">
        <v>0</v>
      </c>
      <c r="E41" s="218">
        <v>0</v>
      </c>
      <c r="F41" s="218">
        <v>0</v>
      </c>
      <c r="G41" s="218">
        <v>0</v>
      </c>
      <c r="H41" s="218">
        <v>0</v>
      </c>
      <c r="I41" s="218">
        <v>0</v>
      </c>
      <c r="J41" s="218">
        <v>5</v>
      </c>
      <c r="K41" s="218">
        <v>88</v>
      </c>
      <c r="L41" s="218">
        <v>0</v>
      </c>
      <c r="M41" s="218">
        <v>0</v>
      </c>
      <c r="N41" s="218">
        <v>277</v>
      </c>
      <c r="O41" s="218">
        <v>0</v>
      </c>
      <c r="P41" s="218">
        <v>10</v>
      </c>
      <c r="Q41" s="218">
        <v>67</v>
      </c>
      <c r="R41" s="218"/>
      <c r="S41" s="218"/>
      <c r="T41" s="218"/>
      <c r="U41" s="218"/>
      <c r="V41" s="218"/>
      <c r="W41" s="218"/>
    </row>
    <row r="42" spans="1:23" ht="15.95" customHeight="1">
      <c r="A42" s="168" t="s">
        <v>1580</v>
      </c>
      <c r="B42" s="225">
        <v>807</v>
      </c>
      <c r="C42" s="226"/>
      <c r="D42" s="226"/>
      <c r="E42" s="226"/>
      <c r="F42" s="226"/>
      <c r="G42" s="226"/>
      <c r="H42" s="226"/>
      <c r="I42" s="226"/>
      <c r="J42" s="226">
        <v>4</v>
      </c>
      <c r="K42" s="226">
        <v>84</v>
      </c>
      <c r="L42" s="226"/>
      <c r="M42" s="226"/>
      <c r="N42" s="226">
        <v>189</v>
      </c>
      <c r="O42" s="226"/>
      <c r="P42" s="226">
        <v>10</v>
      </c>
      <c r="Q42" s="226"/>
      <c r="R42" s="226"/>
      <c r="S42" s="226">
        <v>400</v>
      </c>
      <c r="T42" s="226"/>
      <c r="U42" s="226"/>
      <c r="V42" s="226">
        <v>120</v>
      </c>
      <c r="W42" s="226"/>
    </row>
    <row r="43" spans="1:23" s="132" customFormat="1" ht="17.25" customHeight="1">
      <c r="A43" s="161" t="s">
        <v>1581</v>
      </c>
      <c r="B43" s="226">
        <f>SUM(B44:B45)</f>
        <v>7842</v>
      </c>
      <c r="C43" s="226">
        <f>SUM(C44:C45)</f>
        <v>24</v>
      </c>
      <c r="D43" s="226">
        <f t="shared" ref="D43:W43" si="8">SUM(D44:D45)</f>
        <v>0</v>
      </c>
      <c r="E43" s="226">
        <f t="shared" si="8"/>
        <v>0</v>
      </c>
      <c r="F43" s="226">
        <f t="shared" si="8"/>
        <v>0</v>
      </c>
      <c r="G43" s="226">
        <f t="shared" si="8"/>
        <v>0</v>
      </c>
      <c r="H43" s="226">
        <f t="shared" si="8"/>
        <v>0</v>
      </c>
      <c r="I43" s="226">
        <f t="shared" si="8"/>
        <v>0</v>
      </c>
      <c r="J43" s="226">
        <f t="shared" si="8"/>
        <v>25</v>
      </c>
      <c r="K43" s="226">
        <f t="shared" si="8"/>
        <v>980</v>
      </c>
      <c r="L43" s="226">
        <f t="shared" si="8"/>
        <v>1558</v>
      </c>
      <c r="M43" s="226">
        <f t="shared" si="8"/>
        <v>0</v>
      </c>
      <c r="N43" s="226">
        <f t="shared" si="8"/>
        <v>2940</v>
      </c>
      <c r="O43" s="226">
        <f t="shared" si="8"/>
        <v>0</v>
      </c>
      <c r="P43" s="226">
        <f t="shared" si="8"/>
        <v>229</v>
      </c>
      <c r="Q43" s="226">
        <f t="shared" si="8"/>
        <v>1416</v>
      </c>
      <c r="R43" s="226">
        <f t="shared" si="8"/>
        <v>0</v>
      </c>
      <c r="S43" s="226">
        <f t="shared" si="8"/>
        <v>310</v>
      </c>
      <c r="T43" s="226">
        <f t="shared" si="8"/>
        <v>0</v>
      </c>
      <c r="U43" s="226">
        <f t="shared" si="8"/>
        <v>0</v>
      </c>
      <c r="V43" s="226">
        <f t="shared" si="8"/>
        <v>360</v>
      </c>
      <c r="W43" s="226">
        <f t="shared" si="8"/>
        <v>0</v>
      </c>
    </row>
    <row r="44" spans="1:23" s="132" customFormat="1" ht="17.25" customHeight="1">
      <c r="A44" s="167" t="s">
        <v>1193</v>
      </c>
      <c r="B44" s="226">
        <v>2567</v>
      </c>
      <c r="C44" s="226">
        <v>18</v>
      </c>
      <c r="D44" s="226"/>
      <c r="E44" s="226"/>
      <c r="F44" s="226"/>
      <c r="G44" s="226"/>
      <c r="H44" s="226"/>
      <c r="I44" s="226"/>
      <c r="J44" s="226">
        <v>9</v>
      </c>
      <c r="K44" s="226">
        <v>225</v>
      </c>
      <c r="L44" s="226"/>
      <c r="M44" s="226"/>
      <c r="N44" s="226"/>
      <c r="O44" s="226"/>
      <c r="P44" s="226">
        <v>229</v>
      </c>
      <c r="Q44" s="226">
        <v>1416</v>
      </c>
      <c r="R44" s="226"/>
      <c r="S44" s="226">
        <v>310</v>
      </c>
      <c r="T44" s="226"/>
      <c r="U44" s="226"/>
      <c r="V44" s="226">
        <v>360</v>
      </c>
      <c r="W44" s="226"/>
    </row>
    <row r="45" spans="1:23" s="132" customFormat="1" ht="17.25" customHeight="1">
      <c r="A45" s="167" t="s">
        <v>1194</v>
      </c>
      <c r="B45" s="226">
        <f>SUM(B46:B52)</f>
        <v>5275</v>
      </c>
      <c r="C45" s="226">
        <f t="shared" ref="C45:W45" si="9">SUM(C46:C52)</f>
        <v>6</v>
      </c>
      <c r="D45" s="226">
        <f t="shared" si="9"/>
        <v>0</v>
      </c>
      <c r="E45" s="226">
        <f t="shared" si="9"/>
        <v>0</v>
      </c>
      <c r="F45" s="226">
        <f t="shared" si="9"/>
        <v>0</v>
      </c>
      <c r="G45" s="226">
        <f t="shared" si="9"/>
        <v>0</v>
      </c>
      <c r="H45" s="226">
        <f t="shared" si="9"/>
        <v>0</v>
      </c>
      <c r="I45" s="226">
        <f t="shared" si="9"/>
        <v>0</v>
      </c>
      <c r="J45" s="226">
        <f t="shared" si="9"/>
        <v>16</v>
      </c>
      <c r="K45" s="226">
        <f t="shared" si="9"/>
        <v>755</v>
      </c>
      <c r="L45" s="226">
        <f t="shared" si="9"/>
        <v>1558</v>
      </c>
      <c r="M45" s="226">
        <f t="shared" si="9"/>
        <v>0</v>
      </c>
      <c r="N45" s="226">
        <f t="shared" si="9"/>
        <v>2940</v>
      </c>
      <c r="O45" s="226">
        <f t="shared" si="9"/>
        <v>0</v>
      </c>
      <c r="P45" s="226">
        <f t="shared" si="9"/>
        <v>0</v>
      </c>
      <c r="Q45" s="226">
        <f t="shared" si="9"/>
        <v>0</v>
      </c>
      <c r="R45" s="226">
        <f t="shared" si="9"/>
        <v>0</v>
      </c>
      <c r="S45" s="226">
        <f t="shared" si="9"/>
        <v>0</v>
      </c>
      <c r="T45" s="226">
        <f t="shared" si="9"/>
        <v>0</v>
      </c>
      <c r="U45" s="226">
        <f t="shared" si="9"/>
        <v>0</v>
      </c>
      <c r="V45" s="226">
        <f t="shared" si="9"/>
        <v>0</v>
      </c>
      <c r="W45" s="226">
        <f t="shared" si="9"/>
        <v>0</v>
      </c>
    </row>
    <row r="46" spans="1:23" s="132" customFormat="1" ht="17.25" customHeight="1">
      <c r="A46" s="167" t="s">
        <v>1582</v>
      </c>
      <c r="B46" s="226">
        <f>SUM(C46:W46)</f>
        <v>1129</v>
      </c>
      <c r="C46" s="226">
        <v>1</v>
      </c>
      <c r="D46" s="226"/>
      <c r="E46" s="226"/>
      <c r="F46" s="226"/>
      <c r="G46" s="226"/>
      <c r="H46" s="226"/>
      <c r="I46" s="226"/>
      <c r="J46" s="226">
        <v>2</v>
      </c>
      <c r="K46" s="226">
        <v>69</v>
      </c>
      <c r="L46" s="226">
        <v>560</v>
      </c>
      <c r="M46" s="226"/>
      <c r="N46" s="226">
        <v>497</v>
      </c>
      <c r="O46" s="226"/>
      <c r="P46" s="226"/>
      <c r="Q46" s="226"/>
      <c r="R46" s="226"/>
      <c r="S46" s="226"/>
      <c r="T46" s="226"/>
      <c r="U46" s="226"/>
      <c r="V46" s="226"/>
      <c r="W46" s="226"/>
    </row>
    <row r="47" spans="1:23" s="132" customFormat="1" ht="17.25" customHeight="1">
      <c r="A47" s="167" t="s">
        <v>1583</v>
      </c>
      <c r="B47" s="226">
        <f t="shared" ref="B47:B52" si="10">SUM(C47:W47)</f>
        <v>689</v>
      </c>
      <c r="C47" s="226">
        <v>1</v>
      </c>
      <c r="D47" s="226"/>
      <c r="E47" s="226"/>
      <c r="F47" s="226"/>
      <c r="G47" s="226"/>
      <c r="H47" s="226"/>
      <c r="I47" s="226"/>
      <c r="J47" s="226">
        <v>3</v>
      </c>
      <c r="K47" s="226">
        <v>275</v>
      </c>
      <c r="L47" s="226"/>
      <c r="M47" s="226"/>
      <c r="N47" s="226">
        <v>410</v>
      </c>
      <c r="O47" s="226"/>
      <c r="P47" s="226"/>
      <c r="Q47" s="226"/>
      <c r="R47" s="226"/>
      <c r="S47" s="226"/>
      <c r="T47" s="226"/>
      <c r="U47" s="226"/>
      <c r="V47" s="226"/>
      <c r="W47" s="226"/>
    </row>
    <row r="48" spans="1:23" s="132" customFormat="1" ht="17.25" customHeight="1">
      <c r="A48" s="167" t="s">
        <v>1584</v>
      </c>
      <c r="B48" s="226">
        <f t="shared" si="10"/>
        <v>790</v>
      </c>
      <c r="C48" s="226">
        <v>2</v>
      </c>
      <c r="D48" s="226"/>
      <c r="E48" s="226"/>
      <c r="F48" s="226"/>
      <c r="G48" s="226"/>
      <c r="H48" s="226"/>
      <c r="I48" s="226"/>
      <c r="J48" s="226">
        <v>4</v>
      </c>
      <c r="K48" s="226">
        <v>103</v>
      </c>
      <c r="L48" s="226"/>
      <c r="M48" s="226"/>
      <c r="N48" s="226">
        <v>681</v>
      </c>
      <c r="O48" s="226"/>
      <c r="P48" s="226"/>
      <c r="Q48" s="226"/>
      <c r="R48" s="226"/>
      <c r="S48" s="226"/>
      <c r="T48" s="226"/>
      <c r="U48" s="226"/>
      <c r="V48" s="226"/>
      <c r="W48" s="226"/>
    </row>
    <row r="49" spans="1:23" s="132" customFormat="1" ht="17.25" customHeight="1">
      <c r="A49" s="168" t="s">
        <v>1585</v>
      </c>
      <c r="B49" s="226">
        <f t="shared" si="10"/>
        <v>130</v>
      </c>
      <c r="C49" s="226">
        <v>1</v>
      </c>
      <c r="D49" s="226"/>
      <c r="E49" s="226"/>
      <c r="F49" s="226"/>
      <c r="G49" s="226"/>
      <c r="H49" s="226"/>
      <c r="I49" s="226"/>
      <c r="J49" s="226">
        <v>3</v>
      </c>
      <c r="K49" s="226">
        <v>96</v>
      </c>
      <c r="L49" s="226"/>
      <c r="M49" s="226"/>
      <c r="N49" s="226">
        <v>30</v>
      </c>
      <c r="O49" s="226"/>
      <c r="P49" s="226"/>
      <c r="Q49" s="226"/>
      <c r="R49" s="226"/>
      <c r="S49" s="226"/>
      <c r="T49" s="226"/>
      <c r="U49" s="226"/>
      <c r="V49" s="226"/>
      <c r="W49" s="226"/>
    </row>
    <row r="50" spans="1:23" s="132" customFormat="1" ht="17.25" customHeight="1">
      <c r="A50" s="167" t="s">
        <v>1586</v>
      </c>
      <c r="B50" s="226">
        <f t="shared" si="10"/>
        <v>1599</v>
      </c>
      <c r="C50" s="226">
        <v>1</v>
      </c>
      <c r="D50" s="226"/>
      <c r="E50" s="226"/>
      <c r="F50" s="226"/>
      <c r="G50" s="226"/>
      <c r="H50" s="226"/>
      <c r="I50" s="226"/>
      <c r="J50" s="226">
        <v>1</v>
      </c>
      <c r="K50" s="226">
        <v>82</v>
      </c>
      <c r="L50" s="226">
        <v>998</v>
      </c>
      <c r="M50" s="226"/>
      <c r="N50" s="226">
        <v>517</v>
      </c>
      <c r="O50" s="226"/>
      <c r="P50" s="226"/>
      <c r="Q50" s="226"/>
      <c r="R50" s="226"/>
      <c r="S50" s="226"/>
      <c r="T50" s="226"/>
      <c r="U50" s="226"/>
      <c r="V50" s="226"/>
      <c r="W50" s="226"/>
    </row>
    <row r="51" spans="1:23" s="132" customFormat="1" ht="17.25" customHeight="1">
      <c r="A51" s="168" t="s">
        <v>1587</v>
      </c>
      <c r="B51" s="226">
        <f t="shared" si="10"/>
        <v>446</v>
      </c>
      <c r="C51" s="226"/>
      <c r="D51" s="226"/>
      <c r="E51" s="226"/>
      <c r="F51" s="226"/>
      <c r="G51" s="226"/>
      <c r="H51" s="226"/>
      <c r="I51" s="226"/>
      <c r="J51" s="226">
        <v>2</v>
      </c>
      <c r="K51" s="226">
        <v>60</v>
      </c>
      <c r="L51" s="226"/>
      <c r="M51" s="226"/>
      <c r="N51" s="226">
        <v>384</v>
      </c>
      <c r="O51" s="226"/>
      <c r="P51" s="226"/>
      <c r="Q51" s="226"/>
      <c r="R51" s="226"/>
      <c r="S51" s="226"/>
      <c r="T51" s="226"/>
      <c r="U51" s="226"/>
      <c r="V51" s="226"/>
      <c r="W51" s="226"/>
    </row>
    <row r="52" spans="1:23" s="132" customFormat="1" ht="15.95" customHeight="1">
      <c r="A52" s="168" t="s">
        <v>1588</v>
      </c>
      <c r="B52" s="226">
        <f t="shared" si="10"/>
        <v>492</v>
      </c>
      <c r="C52" s="226"/>
      <c r="D52" s="226"/>
      <c r="E52" s="226"/>
      <c r="F52" s="226"/>
      <c r="G52" s="226"/>
      <c r="H52" s="226"/>
      <c r="I52" s="226"/>
      <c r="J52" s="226">
        <v>1</v>
      </c>
      <c r="K52" s="226">
        <v>70</v>
      </c>
      <c r="L52" s="226"/>
      <c r="M52" s="226"/>
      <c r="N52" s="226">
        <v>421</v>
      </c>
      <c r="O52" s="226"/>
      <c r="P52" s="226"/>
      <c r="Q52" s="226"/>
      <c r="R52" s="226"/>
      <c r="S52" s="226"/>
      <c r="T52" s="226"/>
      <c r="U52" s="226"/>
      <c r="V52" s="226"/>
      <c r="W52" s="226"/>
    </row>
    <row r="53" spans="1:23" s="134" customFormat="1" ht="17.25" customHeight="1">
      <c r="A53" s="161" t="s">
        <v>1676</v>
      </c>
      <c r="B53" s="226">
        <f t="shared" ref="B53:W53" si="11">SUM(B54:B55)</f>
        <v>29749</v>
      </c>
      <c r="C53" s="226">
        <f t="shared" si="11"/>
        <v>18</v>
      </c>
      <c r="D53" s="226">
        <f t="shared" si="11"/>
        <v>0</v>
      </c>
      <c r="E53" s="226">
        <f t="shared" si="11"/>
        <v>0</v>
      </c>
      <c r="F53" s="226">
        <f t="shared" si="11"/>
        <v>0</v>
      </c>
      <c r="G53" s="226">
        <f t="shared" si="11"/>
        <v>0</v>
      </c>
      <c r="H53" s="226">
        <f t="shared" si="11"/>
        <v>0</v>
      </c>
      <c r="I53" s="226">
        <f t="shared" si="11"/>
        <v>0</v>
      </c>
      <c r="J53" s="226">
        <f t="shared" si="11"/>
        <v>32</v>
      </c>
      <c r="K53" s="226">
        <f t="shared" si="11"/>
        <v>743</v>
      </c>
      <c r="L53" s="226">
        <f t="shared" si="11"/>
        <v>7524</v>
      </c>
      <c r="M53" s="226">
        <f t="shared" si="11"/>
        <v>0</v>
      </c>
      <c r="N53" s="226">
        <f t="shared" si="11"/>
        <v>3256</v>
      </c>
      <c r="O53" s="226">
        <f t="shared" si="11"/>
        <v>0</v>
      </c>
      <c r="P53" s="226">
        <f t="shared" si="11"/>
        <v>0</v>
      </c>
      <c r="Q53" s="226">
        <f t="shared" si="11"/>
        <v>346</v>
      </c>
      <c r="R53" s="226">
        <f t="shared" si="11"/>
        <v>0</v>
      </c>
      <c r="S53" s="226">
        <f t="shared" si="11"/>
        <v>17000</v>
      </c>
      <c r="T53" s="226">
        <f t="shared" si="11"/>
        <v>0</v>
      </c>
      <c r="U53" s="226">
        <f t="shared" si="11"/>
        <v>0</v>
      </c>
      <c r="V53" s="226">
        <f t="shared" si="11"/>
        <v>830</v>
      </c>
      <c r="W53" s="226">
        <f t="shared" si="11"/>
        <v>0</v>
      </c>
    </row>
    <row r="54" spans="1:23" s="134" customFormat="1" ht="17.25" customHeight="1">
      <c r="A54" s="167" t="s">
        <v>1193</v>
      </c>
      <c r="B54" s="226">
        <f t="shared" ref="B54:B62" si="12">SUM(C54:W54)</f>
        <v>18089</v>
      </c>
      <c r="C54" s="223"/>
      <c r="D54" s="223"/>
      <c r="E54" s="223"/>
      <c r="F54" s="223"/>
      <c r="G54" s="223"/>
      <c r="H54" s="223"/>
      <c r="I54" s="223"/>
      <c r="J54" s="223">
        <v>18</v>
      </c>
      <c r="K54" s="223">
        <v>241</v>
      </c>
      <c r="L54" s="223"/>
      <c r="M54" s="223"/>
      <c r="N54" s="223"/>
      <c r="O54" s="223"/>
      <c r="P54" s="223"/>
      <c r="Q54" s="223"/>
      <c r="R54" s="223"/>
      <c r="S54" s="223">
        <v>17000</v>
      </c>
      <c r="T54" s="223"/>
      <c r="U54" s="223"/>
      <c r="V54" s="223">
        <v>830</v>
      </c>
      <c r="W54" s="223"/>
    </row>
    <row r="55" spans="1:23" s="134" customFormat="1" ht="17.25" customHeight="1">
      <c r="A55" s="167" t="s">
        <v>1194</v>
      </c>
      <c r="B55" s="226">
        <f t="shared" si="12"/>
        <v>11660</v>
      </c>
      <c r="C55" s="226">
        <f t="shared" ref="C55:W55" si="13">SUM(C56:C62)</f>
        <v>18</v>
      </c>
      <c r="D55" s="226">
        <f t="shared" si="13"/>
        <v>0</v>
      </c>
      <c r="E55" s="226">
        <f t="shared" si="13"/>
        <v>0</v>
      </c>
      <c r="F55" s="226">
        <f t="shared" si="13"/>
        <v>0</v>
      </c>
      <c r="G55" s="226">
        <f t="shared" si="13"/>
        <v>0</v>
      </c>
      <c r="H55" s="226">
        <f t="shared" si="13"/>
        <v>0</v>
      </c>
      <c r="I55" s="226">
        <f t="shared" si="13"/>
        <v>0</v>
      </c>
      <c r="J55" s="226">
        <f t="shared" si="13"/>
        <v>14</v>
      </c>
      <c r="K55" s="226">
        <f t="shared" si="13"/>
        <v>502</v>
      </c>
      <c r="L55" s="226">
        <f t="shared" si="13"/>
        <v>7524</v>
      </c>
      <c r="M55" s="226">
        <f t="shared" si="13"/>
        <v>0</v>
      </c>
      <c r="N55" s="226">
        <f t="shared" si="13"/>
        <v>3256</v>
      </c>
      <c r="O55" s="226">
        <f t="shared" si="13"/>
        <v>0</v>
      </c>
      <c r="P55" s="226">
        <f t="shared" si="13"/>
        <v>0</v>
      </c>
      <c r="Q55" s="226">
        <f t="shared" si="13"/>
        <v>346</v>
      </c>
      <c r="R55" s="226">
        <f t="shared" si="13"/>
        <v>0</v>
      </c>
      <c r="S55" s="226">
        <f t="shared" si="13"/>
        <v>0</v>
      </c>
      <c r="T55" s="226">
        <f t="shared" si="13"/>
        <v>0</v>
      </c>
      <c r="U55" s="226">
        <f t="shared" si="13"/>
        <v>0</v>
      </c>
      <c r="V55" s="226">
        <f t="shared" si="13"/>
        <v>0</v>
      </c>
      <c r="W55" s="226">
        <f t="shared" si="13"/>
        <v>0</v>
      </c>
    </row>
    <row r="56" spans="1:23" s="134" customFormat="1" ht="17.25" customHeight="1">
      <c r="A56" s="167" t="s">
        <v>1589</v>
      </c>
      <c r="B56" s="226">
        <f t="shared" si="12"/>
        <v>2571</v>
      </c>
      <c r="C56" s="226">
        <v>3</v>
      </c>
      <c r="D56" s="226"/>
      <c r="E56" s="226"/>
      <c r="F56" s="226"/>
      <c r="G56" s="226"/>
      <c r="H56" s="226"/>
      <c r="I56" s="226"/>
      <c r="J56" s="226">
        <v>3</v>
      </c>
      <c r="K56" s="226">
        <v>81</v>
      </c>
      <c r="L56" s="226">
        <v>1000</v>
      </c>
      <c r="M56" s="226"/>
      <c r="N56" s="226">
        <v>1438</v>
      </c>
      <c r="O56" s="226"/>
      <c r="P56" s="226"/>
      <c r="Q56" s="226">
        <v>46</v>
      </c>
      <c r="R56" s="226"/>
      <c r="S56" s="226"/>
      <c r="T56" s="226"/>
      <c r="U56" s="226"/>
      <c r="V56" s="226"/>
      <c r="W56" s="226"/>
    </row>
    <row r="57" spans="1:23" s="134" customFormat="1" ht="17.25" customHeight="1">
      <c r="A57" s="167" t="s">
        <v>1590</v>
      </c>
      <c r="B57" s="226">
        <f t="shared" si="12"/>
        <v>293</v>
      </c>
      <c r="C57" s="226">
        <v>3</v>
      </c>
      <c r="D57" s="226"/>
      <c r="E57" s="226"/>
      <c r="F57" s="226"/>
      <c r="G57" s="226"/>
      <c r="H57" s="226"/>
      <c r="I57" s="226"/>
      <c r="J57" s="226">
        <v>2</v>
      </c>
      <c r="K57" s="226">
        <v>72</v>
      </c>
      <c r="L57" s="226"/>
      <c r="M57" s="226"/>
      <c r="N57" s="226">
        <v>216</v>
      </c>
      <c r="O57" s="226"/>
      <c r="P57" s="226"/>
      <c r="Q57" s="226"/>
      <c r="R57" s="226"/>
      <c r="S57" s="226"/>
      <c r="T57" s="226"/>
      <c r="U57" s="226"/>
      <c r="V57" s="226"/>
      <c r="W57" s="226"/>
    </row>
    <row r="58" spans="1:23" s="134" customFormat="1" ht="17.25" customHeight="1">
      <c r="A58" s="167" t="s">
        <v>1591</v>
      </c>
      <c r="B58" s="226">
        <f t="shared" si="12"/>
        <v>503</v>
      </c>
      <c r="C58" s="223">
        <v>3</v>
      </c>
      <c r="D58" s="223"/>
      <c r="E58" s="223"/>
      <c r="F58" s="223"/>
      <c r="G58" s="227"/>
      <c r="H58" s="223"/>
      <c r="I58" s="223"/>
      <c r="J58" s="223">
        <v>2</v>
      </c>
      <c r="K58" s="226">
        <v>68</v>
      </c>
      <c r="L58" s="226"/>
      <c r="M58" s="226"/>
      <c r="N58" s="226">
        <v>370</v>
      </c>
      <c r="O58" s="226"/>
      <c r="P58" s="226"/>
      <c r="Q58" s="226">
        <v>60</v>
      </c>
      <c r="R58" s="226"/>
      <c r="S58" s="223"/>
      <c r="T58" s="223"/>
      <c r="U58" s="223"/>
      <c r="V58" s="223"/>
      <c r="W58" s="223"/>
    </row>
    <row r="59" spans="1:23" s="134" customFormat="1" ht="17.25" customHeight="1">
      <c r="A59" s="168" t="s">
        <v>1592</v>
      </c>
      <c r="B59" s="226">
        <f t="shared" si="12"/>
        <v>359</v>
      </c>
      <c r="C59" s="226">
        <v>3</v>
      </c>
      <c r="D59" s="226"/>
      <c r="E59" s="226"/>
      <c r="F59" s="226"/>
      <c r="G59" s="226"/>
      <c r="H59" s="226"/>
      <c r="I59" s="226"/>
      <c r="J59" s="226">
        <v>1</v>
      </c>
      <c r="K59" s="226">
        <v>56</v>
      </c>
      <c r="L59" s="226"/>
      <c r="M59" s="226"/>
      <c r="N59" s="226">
        <v>179</v>
      </c>
      <c r="O59" s="226"/>
      <c r="P59" s="226"/>
      <c r="Q59" s="226">
        <v>120</v>
      </c>
      <c r="R59" s="226"/>
      <c r="S59" s="226"/>
      <c r="T59" s="226"/>
      <c r="U59" s="226"/>
      <c r="V59" s="226"/>
      <c r="W59" s="226"/>
    </row>
    <row r="60" spans="1:23" s="134" customFormat="1" ht="17.25" customHeight="1">
      <c r="A60" s="167" t="s">
        <v>1593</v>
      </c>
      <c r="B60" s="226">
        <f t="shared" si="12"/>
        <v>2453</v>
      </c>
      <c r="C60" s="226">
        <v>2</v>
      </c>
      <c r="D60" s="226">
        <v>0</v>
      </c>
      <c r="E60" s="226">
        <v>0</v>
      </c>
      <c r="F60" s="226">
        <v>0</v>
      </c>
      <c r="G60" s="226">
        <v>0</v>
      </c>
      <c r="H60" s="226">
        <v>0</v>
      </c>
      <c r="I60" s="226">
        <v>0</v>
      </c>
      <c r="J60" s="226">
        <v>2</v>
      </c>
      <c r="K60" s="226">
        <v>114</v>
      </c>
      <c r="L60" s="226">
        <v>2000</v>
      </c>
      <c r="M60" s="226">
        <v>0</v>
      </c>
      <c r="N60" s="226">
        <v>335</v>
      </c>
      <c r="O60" s="226">
        <v>0</v>
      </c>
      <c r="P60" s="226">
        <v>0</v>
      </c>
      <c r="Q60" s="226">
        <v>0</v>
      </c>
      <c r="R60" s="226">
        <v>0</v>
      </c>
      <c r="S60" s="226">
        <v>0</v>
      </c>
      <c r="T60" s="226">
        <v>0</v>
      </c>
      <c r="U60" s="226">
        <v>0</v>
      </c>
      <c r="V60" s="226">
        <v>0</v>
      </c>
      <c r="W60" s="226">
        <v>0</v>
      </c>
    </row>
    <row r="61" spans="1:23" s="134" customFormat="1" ht="17.25" customHeight="1">
      <c r="A61" s="168" t="s">
        <v>1594</v>
      </c>
      <c r="B61" s="226">
        <f t="shared" si="12"/>
        <v>5234</v>
      </c>
      <c r="C61" s="226">
        <v>2</v>
      </c>
      <c r="D61" s="226"/>
      <c r="E61" s="226"/>
      <c r="F61" s="226"/>
      <c r="G61" s="226"/>
      <c r="H61" s="226"/>
      <c r="I61" s="226"/>
      <c r="J61" s="226">
        <v>2</v>
      </c>
      <c r="K61" s="226">
        <v>60</v>
      </c>
      <c r="L61" s="226">
        <v>4524</v>
      </c>
      <c r="M61" s="226"/>
      <c r="N61" s="226">
        <v>646</v>
      </c>
      <c r="O61" s="226"/>
      <c r="P61" s="226"/>
      <c r="Q61" s="226"/>
      <c r="R61" s="226"/>
      <c r="S61" s="226"/>
      <c r="T61" s="226"/>
      <c r="U61" s="226"/>
      <c r="V61" s="226"/>
      <c r="W61" s="226"/>
    </row>
    <row r="62" spans="1:23" s="134" customFormat="1" ht="15.95" customHeight="1">
      <c r="A62" s="168" t="s">
        <v>1595</v>
      </c>
      <c r="B62" s="226">
        <f t="shared" si="12"/>
        <v>247</v>
      </c>
      <c r="C62" s="226">
        <v>2</v>
      </c>
      <c r="D62" s="226">
        <v>0</v>
      </c>
      <c r="E62" s="226">
        <v>0</v>
      </c>
      <c r="F62" s="226">
        <v>0</v>
      </c>
      <c r="G62" s="226">
        <v>0</v>
      </c>
      <c r="H62" s="226">
        <v>0</v>
      </c>
      <c r="I62" s="226">
        <v>0</v>
      </c>
      <c r="J62" s="226">
        <v>2</v>
      </c>
      <c r="K62" s="226">
        <v>51</v>
      </c>
      <c r="L62" s="226">
        <v>0</v>
      </c>
      <c r="M62" s="226">
        <v>0</v>
      </c>
      <c r="N62" s="226">
        <v>72</v>
      </c>
      <c r="O62" s="226">
        <v>0</v>
      </c>
      <c r="P62" s="226">
        <v>0</v>
      </c>
      <c r="Q62" s="226">
        <v>120</v>
      </c>
      <c r="R62" s="226">
        <v>0</v>
      </c>
      <c r="S62" s="226">
        <v>0</v>
      </c>
      <c r="T62" s="226">
        <v>0</v>
      </c>
      <c r="U62" s="226">
        <v>0</v>
      </c>
      <c r="V62" s="226">
        <v>0</v>
      </c>
      <c r="W62" s="226">
        <v>0</v>
      </c>
    </row>
    <row r="63" spans="1:23" s="141" customFormat="1">
      <c r="A63" s="161" t="s">
        <v>1677</v>
      </c>
      <c r="B63" s="226">
        <v>7163</v>
      </c>
      <c r="C63" s="226">
        <v>17</v>
      </c>
      <c r="D63" s="226">
        <v>0</v>
      </c>
      <c r="E63" s="226">
        <v>0</v>
      </c>
      <c r="F63" s="226">
        <v>0</v>
      </c>
      <c r="G63" s="226">
        <v>0</v>
      </c>
      <c r="H63" s="226">
        <v>0</v>
      </c>
      <c r="I63" s="226">
        <v>0</v>
      </c>
      <c r="J63" s="226">
        <v>25</v>
      </c>
      <c r="K63" s="226">
        <v>515</v>
      </c>
      <c r="L63" s="226">
        <v>1600</v>
      </c>
      <c r="M63" s="226">
        <v>0</v>
      </c>
      <c r="N63" s="226">
        <v>2209</v>
      </c>
      <c r="O63" s="226">
        <v>0</v>
      </c>
      <c r="P63" s="226">
        <v>121</v>
      </c>
      <c r="Q63" s="226">
        <v>2256</v>
      </c>
      <c r="R63" s="226">
        <v>0</v>
      </c>
      <c r="S63" s="226">
        <v>0</v>
      </c>
      <c r="T63" s="226">
        <v>0</v>
      </c>
      <c r="U63" s="226">
        <v>0</v>
      </c>
      <c r="V63" s="226">
        <v>420</v>
      </c>
      <c r="W63" s="226">
        <v>0</v>
      </c>
    </row>
    <row r="64" spans="1:23" s="141" customFormat="1">
      <c r="A64" s="167" t="s">
        <v>1193</v>
      </c>
      <c r="B64" s="226">
        <v>2649</v>
      </c>
      <c r="C64" s="226">
        <v>17</v>
      </c>
      <c r="D64" s="226"/>
      <c r="E64" s="226"/>
      <c r="F64" s="226"/>
      <c r="G64" s="226"/>
      <c r="H64" s="226"/>
      <c r="I64" s="226"/>
      <c r="J64" s="226">
        <v>8</v>
      </c>
      <c r="K64" s="226">
        <v>174</v>
      </c>
      <c r="L64" s="226"/>
      <c r="M64" s="226"/>
      <c r="N64" s="226">
        <v>2030</v>
      </c>
      <c r="O64" s="226"/>
      <c r="P64" s="226"/>
      <c r="Q64" s="226"/>
      <c r="R64" s="226"/>
      <c r="S64" s="226"/>
      <c r="T64" s="226"/>
      <c r="U64" s="226"/>
      <c r="V64" s="226">
        <v>420</v>
      </c>
      <c r="W64" s="226"/>
    </row>
    <row r="65" spans="1:23" s="141" customFormat="1">
      <c r="A65" s="167" t="s">
        <v>1194</v>
      </c>
      <c r="B65" s="226">
        <v>4514</v>
      </c>
      <c r="C65" s="226">
        <v>0</v>
      </c>
      <c r="D65" s="226">
        <v>0</v>
      </c>
      <c r="E65" s="226">
        <v>0</v>
      </c>
      <c r="F65" s="226">
        <v>0</v>
      </c>
      <c r="G65" s="226">
        <v>0</v>
      </c>
      <c r="H65" s="226">
        <v>0</v>
      </c>
      <c r="I65" s="226">
        <v>0</v>
      </c>
      <c r="J65" s="226">
        <v>17</v>
      </c>
      <c r="K65" s="226">
        <v>341</v>
      </c>
      <c r="L65" s="226">
        <v>1600</v>
      </c>
      <c r="M65" s="226">
        <v>0</v>
      </c>
      <c r="N65" s="226">
        <v>179</v>
      </c>
      <c r="O65" s="226">
        <v>0</v>
      </c>
      <c r="P65" s="226">
        <v>121</v>
      </c>
      <c r="Q65" s="226">
        <v>2256</v>
      </c>
      <c r="R65" s="226">
        <v>0</v>
      </c>
      <c r="S65" s="226">
        <v>0</v>
      </c>
      <c r="T65" s="226">
        <v>0</v>
      </c>
      <c r="U65" s="226">
        <v>0</v>
      </c>
      <c r="V65" s="226">
        <v>0</v>
      </c>
      <c r="W65" s="226">
        <v>0</v>
      </c>
    </row>
    <row r="66" spans="1:23" s="141" customFormat="1">
      <c r="A66" s="167" t="s">
        <v>1596</v>
      </c>
      <c r="B66" s="226">
        <v>702</v>
      </c>
      <c r="C66" s="226"/>
      <c r="D66" s="226"/>
      <c r="E66" s="226"/>
      <c r="F66" s="226"/>
      <c r="G66" s="226"/>
      <c r="H66" s="226"/>
      <c r="I66" s="226"/>
      <c r="J66" s="226">
        <v>6</v>
      </c>
      <c r="K66" s="226">
        <v>104</v>
      </c>
      <c r="L66" s="226"/>
      <c r="M66" s="226"/>
      <c r="N66" s="226">
        <v>24</v>
      </c>
      <c r="O66" s="226"/>
      <c r="P66" s="226">
        <v>68</v>
      </c>
      <c r="Q66" s="226">
        <v>500</v>
      </c>
      <c r="R66" s="226"/>
      <c r="S66" s="226"/>
      <c r="T66" s="226"/>
      <c r="U66" s="226"/>
      <c r="V66" s="226"/>
      <c r="W66" s="226"/>
    </row>
    <row r="67" spans="1:23" s="141" customFormat="1">
      <c r="A67" s="167" t="s">
        <v>1597</v>
      </c>
      <c r="B67" s="226">
        <v>820</v>
      </c>
      <c r="C67" s="226"/>
      <c r="D67" s="226"/>
      <c r="E67" s="226"/>
      <c r="F67" s="226"/>
      <c r="G67" s="226"/>
      <c r="H67" s="226"/>
      <c r="I67" s="226"/>
      <c r="J67" s="226">
        <v>5</v>
      </c>
      <c r="K67" s="226">
        <v>167</v>
      </c>
      <c r="L67" s="226"/>
      <c r="M67" s="226"/>
      <c r="N67" s="226">
        <v>95</v>
      </c>
      <c r="O67" s="226"/>
      <c r="P67" s="226">
        <v>53</v>
      </c>
      <c r="Q67" s="226">
        <v>500</v>
      </c>
      <c r="R67" s="226"/>
      <c r="S67" s="226"/>
      <c r="T67" s="226"/>
      <c r="U67" s="226"/>
      <c r="V67" s="226"/>
      <c r="W67" s="226"/>
    </row>
    <row r="68" spans="1:23" s="141" customFormat="1">
      <c r="A68" s="167" t="s">
        <v>1598</v>
      </c>
      <c r="B68" s="226">
        <v>173</v>
      </c>
      <c r="C68" s="226">
        <v>0</v>
      </c>
      <c r="D68" s="226">
        <v>0</v>
      </c>
      <c r="E68" s="226">
        <v>0</v>
      </c>
      <c r="F68" s="226">
        <v>0</v>
      </c>
      <c r="G68" s="226">
        <v>0</v>
      </c>
      <c r="H68" s="226">
        <v>0</v>
      </c>
      <c r="I68" s="226">
        <v>0</v>
      </c>
      <c r="J68" s="226">
        <v>4</v>
      </c>
      <c r="K68" s="226">
        <v>53</v>
      </c>
      <c r="L68" s="226">
        <v>0</v>
      </c>
      <c r="M68" s="226">
        <v>0</v>
      </c>
      <c r="N68" s="226">
        <v>60</v>
      </c>
      <c r="O68" s="226">
        <v>0</v>
      </c>
      <c r="P68" s="226">
        <v>0</v>
      </c>
      <c r="Q68" s="226">
        <v>56</v>
      </c>
      <c r="R68" s="226">
        <v>0</v>
      </c>
      <c r="S68" s="226">
        <v>0</v>
      </c>
      <c r="T68" s="226">
        <v>0</v>
      </c>
      <c r="U68" s="226">
        <v>0</v>
      </c>
      <c r="V68" s="226">
        <v>0</v>
      </c>
      <c r="W68" s="226">
        <v>0</v>
      </c>
    </row>
    <row r="69" spans="1:23" s="141" customFormat="1">
      <c r="A69" s="167" t="s">
        <v>1599</v>
      </c>
      <c r="B69" s="226">
        <v>2819</v>
      </c>
      <c r="C69" s="226"/>
      <c r="D69" s="226"/>
      <c r="E69" s="226"/>
      <c r="F69" s="226"/>
      <c r="G69" s="226"/>
      <c r="H69" s="226"/>
      <c r="I69" s="226"/>
      <c r="J69" s="226">
        <v>2</v>
      </c>
      <c r="K69" s="226">
        <v>17</v>
      </c>
      <c r="L69" s="226">
        <v>1600</v>
      </c>
      <c r="M69" s="226"/>
      <c r="N69" s="226"/>
      <c r="O69" s="226"/>
      <c r="P69" s="226"/>
      <c r="Q69" s="226">
        <v>1200</v>
      </c>
      <c r="R69" s="226"/>
      <c r="S69" s="226"/>
      <c r="T69" s="226"/>
      <c r="U69" s="226"/>
      <c r="V69" s="226"/>
      <c r="W69" s="226"/>
    </row>
    <row r="70" spans="1:23" s="142" customFormat="1">
      <c r="A70" s="161" t="s">
        <v>1678</v>
      </c>
      <c r="B70" s="228">
        <f>SUM(C70:W70)</f>
        <v>11188</v>
      </c>
      <c r="C70" s="228">
        <f>C71+C72</f>
        <v>38</v>
      </c>
      <c r="D70" s="228">
        <f t="shared" ref="D70:W70" si="14">D71+D72</f>
        <v>0</v>
      </c>
      <c r="E70" s="228">
        <f t="shared" si="14"/>
        <v>0</v>
      </c>
      <c r="F70" s="228">
        <f t="shared" si="14"/>
        <v>0</v>
      </c>
      <c r="G70" s="228">
        <f t="shared" si="14"/>
        <v>0</v>
      </c>
      <c r="H70" s="228">
        <f t="shared" si="14"/>
        <v>0</v>
      </c>
      <c r="I70" s="228">
        <f t="shared" si="14"/>
        <v>0</v>
      </c>
      <c r="J70" s="228">
        <f t="shared" si="14"/>
        <v>65</v>
      </c>
      <c r="K70" s="228">
        <f t="shared" si="14"/>
        <v>1111</v>
      </c>
      <c r="L70" s="228">
        <f t="shared" si="14"/>
        <v>4123</v>
      </c>
      <c r="M70" s="228">
        <f t="shared" si="14"/>
        <v>0</v>
      </c>
      <c r="N70" s="228">
        <f t="shared" si="14"/>
        <v>2149</v>
      </c>
      <c r="O70" s="228">
        <f t="shared" si="14"/>
        <v>0</v>
      </c>
      <c r="P70" s="228">
        <f t="shared" si="14"/>
        <v>0</v>
      </c>
      <c r="Q70" s="228">
        <f t="shared" si="14"/>
        <v>2152</v>
      </c>
      <c r="R70" s="228">
        <f t="shared" si="14"/>
        <v>0</v>
      </c>
      <c r="S70" s="228">
        <f t="shared" si="14"/>
        <v>700</v>
      </c>
      <c r="T70" s="228">
        <f t="shared" si="14"/>
        <v>0</v>
      </c>
      <c r="U70" s="228">
        <f t="shared" si="14"/>
        <v>0</v>
      </c>
      <c r="V70" s="228">
        <f t="shared" si="14"/>
        <v>850</v>
      </c>
      <c r="W70" s="228">
        <f t="shared" si="14"/>
        <v>0</v>
      </c>
    </row>
    <row r="71" spans="1:23" s="142" customFormat="1">
      <c r="A71" s="167" t="s">
        <v>1679</v>
      </c>
      <c r="B71" s="228">
        <f>SUM(C71:W71)</f>
        <v>2100</v>
      </c>
      <c r="C71" s="228">
        <v>38</v>
      </c>
      <c r="D71" s="228"/>
      <c r="E71" s="228"/>
      <c r="F71" s="228"/>
      <c r="G71" s="228"/>
      <c r="H71" s="228"/>
      <c r="I71" s="228"/>
      <c r="J71" s="228">
        <v>16</v>
      </c>
      <c r="K71" s="228">
        <v>456</v>
      </c>
      <c r="L71" s="228">
        <v>690</v>
      </c>
      <c r="M71" s="228"/>
      <c r="N71" s="228"/>
      <c r="O71" s="228"/>
      <c r="P71" s="228"/>
      <c r="Q71" s="228"/>
      <c r="R71" s="228"/>
      <c r="S71" s="228">
        <v>700</v>
      </c>
      <c r="T71" s="228"/>
      <c r="U71" s="228"/>
      <c r="V71" s="228">
        <v>200</v>
      </c>
      <c r="W71" s="228"/>
    </row>
    <row r="72" spans="1:23" s="142" customFormat="1">
      <c r="A72" s="167" t="s">
        <v>1194</v>
      </c>
      <c r="B72" s="228">
        <f>SUM(B73:B81)</f>
        <v>9088</v>
      </c>
      <c r="C72" s="228">
        <f t="shared" ref="C72:W72" si="15">SUM(C73:C81)</f>
        <v>0</v>
      </c>
      <c r="D72" s="228">
        <f t="shared" si="15"/>
        <v>0</v>
      </c>
      <c r="E72" s="228">
        <f t="shared" si="15"/>
        <v>0</v>
      </c>
      <c r="F72" s="228">
        <f t="shared" si="15"/>
        <v>0</v>
      </c>
      <c r="G72" s="228">
        <f t="shared" si="15"/>
        <v>0</v>
      </c>
      <c r="H72" s="228">
        <f t="shared" si="15"/>
        <v>0</v>
      </c>
      <c r="I72" s="228">
        <f t="shared" si="15"/>
        <v>0</v>
      </c>
      <c r="J72" s="228">
        <f t="shared" si="15"/>
        <v>49</v>
      </c>
      <c r="K72" s="228">
        <f t="shared" si="15"/>
        <v>655</v>
      </c>
      <c r="L72" s="228">
        <f t="shared" si="15"/>
        <v>3433</v>
      </c>
      <c r="M72" s="228">
        <f t="shared" si="15"/>
        <v>0</v>
      </c>
      <c r="N72" s="228">
        <f t="shared" si="15"/>
        <v>2149</v>
      </c>
      <c r="O72" s="228">
        <f t="shared" si="15"/>
        <v>0</v>
      </c>
      <c r="P72" s="228">
        <f t="shared" si="15"/>
        <v>0</v>
      </c>
      <c r="Q72" s="228">
        <f t="shared" si="15"/>
        <v>2152</v>
      </c>
      <c r="R72" s="228">
        <f t="shared" si="15"/>
        <v>0</v>
      </c>
      <c r="S72" s="228">
        <f t="shared" si="15"/>
        <v>0</v>
      </c>
      <c r="T72" s="228">
        <f t="shared" si="15"/>
        <v>0</v>
      </c>
      <c r="U72" s="228">
        <f t="shared" si="15"/>
        <v>0</v>
      </c>
      <c r="V72" s="228">
        <f t="shared" si="15"/>
        <v>650</v>
      </c>
      <c r="W72" s="228">
        <f t="shared" si="15"/>
        <v>0</v>
      </c>
    </row>
    <row r="73" spans="1:23" s="142" customFormat="1">
      <c r="A73" s="167" t="s">
        <v>1680</v>
      </c>
      <c r="B73" s="228">
        <f>SUM(C73:W73)</f>
        <v>586</v>
      </c>
      <c r="C73" s="228"/>
      <c r="D73" s="228"/>
      <c r="E73" s="228"/>
      <c r="F73" s="228"/>
      <c r="G73" s="228"/>
      <c r="H73" s="228"/>
      <c r="I73" s="228"/>
      <c r="J73" s="228">
        <v>6</v>
      </c>
      <c r="K73" s="228">
        <v>68</v>
      </c>
      <c r="L73" s="228">
        <v>192</v>
      </c>
      <c r="M73" s="228"/>
      <c r="N73" s="228">
        <v>320</v>
      </c>
      <c r="O73" s="228"/>
      <c r="P73" s="228"/>
      <c r="Q73" s="228"/>
      <c r="R73" s="228"/>
      <c r="S73" s="228"/>
      <c r="T73" s="228"/>
      <c r="U73" s="228"/>
      <c r="V73" s="228"/>
      <c r="W73" s="228"/>
    </row>
    <row r="74" spans="1:23" s="142" customFormat="1">
      <c r="A74" s="167" t="s">
        <v>1691</v>
      </c>
      <c r="B74" s="228">
        <f t="shared" ref="B74:B81" si="16">SUM(C74:W74)</f>
        <v>345</v>
      </c>
      <c r="C74" s="228"/>
      <c r="D74" s="228"/>
      <c r="E74" s="228"/>
      <c r="F74" s="228"/>
      <c r="G74" s="228"/>
      <c r="H74" s="228"/>
      <c r="I74" s="228"/>
      <c r="J74" s="228">
        <v>6</v>
      </c>
      <c r="K74" s="228">
        <v>69</v>
      </c>
      <c r="L74" s="228"/>
      <c r="M74" s="228"/>
      <c r="N74" s="228">
        <v>270</v>
      </c>
      <c r="O74" s="228"/>
      <c r="P74" s="228"/>
      <c r="Q74" s="228"/>
      <c r="R74" s="228"/>
      <c r="S74" s="228"/>
      <c r="T74" s="228"/>
      <c r="U74" s="228"/>
      <c r="V74" s="228"/>
      <c r="W74" s="228"/>
    </row>
    <row r="75" spans="1:23" s="142" customFormat="1">
      <c r="A75" s="167" t="s">
        <v>1692</v>
      </c>
      <c r="B75" s="228">
        <f t="shared" si="16"/>
        <v>3080</v>
      </c>
      <c r="C75" s="228"/>
      <c r="D75" s="228"/>
      <c r="E75" s="228"/>
      <c r="F75" s="228"/>
      <c r="G75" s="228"/>
      <c r="H75" s="228"/>
      <c r="I75" s="228"/>
      <c r="J75" s="228">
        <v>11</v>
      </c>
      <c r="K75" s="228">
        <v>257</v>
      </c>
      <c r="L75" s="228"/>
      <c r="M75" s="228"/>
      <c r="N75" s="228">
        <v>390</v>
      </c>
      <c r="O75" s="228"/>
      <c r="P75" s="228"/>
      <c r="Q75" s="228">
        <v>2152</v>
      </c>
      <c r="R75" s="228"/>
      <c r="S75" s="228"/>
      <c r="T75" s="228"/>
      <c r="U75" s="228"/>
      <c r="V75" s="228">
        <v>270</v>
      </c>
      <c r="W75" s="228"/>
    </row>
    <row r="76" spans="1:23" s="142" customFormat="1">
      <c r="A76" s="168" t="s">
        <v>1693</v>
      </c>
      <c r="B76" s="228">
        <f t="shared" si="16"/>
        <v>2161</v>
      </c>
      <c r="C76" s="228"/>
      <c r="D76" s="228"/>
      <c r="E76" s="228"/>
      <c r="F76" s="228"/>
      <c r="G76" s="228"/>
      <c r="H76" s="228"/>
      <c r="I76" s="228"/>
      <c r="J76" s="228">
        <v>8</v>
      </c>
      <c r="K76" s="228">
        <v>67</v>
      </c>
      <c r="L76" s="228">
        <v>1849</v>
      </c>
      <c r="M76" s="228"/>
      <c r="N76" s="228">
        <v>147</v>
      </c>
      <c r="O76" s="228"/>
      <c r="P76" s="228"/>
      <c r="Q76" s="228"/>
      <c r="R76" s="228"/>
      <c r="S76" s="228"/>
      <c r="T76" s="228"/>
      <c r="U76" s="228"/>
      <c r="V76" s="228">
        <v>90</v>
      </c>
      <c r="W76" s="228"/>
    </row>
    <row r="77" spans="1:23" s="142" customFormat="1">
      <c r="A77" s="168" t="s">
        <v>1694</v>
      </c>
      <c r="B77" s="228">
        <f t="shared" si="16"/>
        <v>354</v>
      </c>
      <c r="C77" s="228"/>
      <c r="D77" s="228"/>
      <c r="E77" s="228"/>
      <c r="F77" s="228"/>
      <c r="G77" s="228"/>
      <c r="H77" s="228"/>
      <c r="I77" s="228"/>
      <c r="J77" s="228">
        <v>6</v>
      </c>
      <c r="K77" s="228">
        <v>65</v>
      </c>
      <c r="L77" s="228"/>
      <c r="M77" s="228"/>
      <c r="N77" s="228">
        <v>193</v>
      </c>
      <c r="O77" s="228"/>
      <c r="P77" s="228"/>
      <c r="Q77" s="228"/>
      <c r="R77" s="228"/>
      <c r="S77" s="228"/>
      <c r="T77" s="228"/>
      <c r="U77" s="228"/>
      <c r="V77" s="228">
        <v>90</v>
      </c>
      <c r="W77" s="228"/>
    </row>
    <row r="78" spans="1:23" s="142" customFormat="1">
      <c r="A78" s="168" t="s">
        <v>1695</v>
      </c>
      <c r="B78" s="228">
        <f t="shared" si="16"/>
        <v>730</v>
      </c>
      <c r="C78" s="228"/>
      <c r="D78" s="228"/>
      <c r="E78" s="228"/>
      <c r="F78" s="228"/>
      <c r="G78" s="228"/>
      <c r="H78" s="228"/>
      <c r="I78" s="228"/>
      <c r="J78" s="228">
        <v>8</v>
      </c>
      <c r="K78" s="228">
        <v>83</v>
      </c>
      <c r="L78" s="228"/>
      <c r="M78" s="228"/>
      <c r="N78" s="228">
        <v>539</v>
      </c>
      <c r="O78" s="228"/>
      <c r="P78" s="228"/>
      <c r="Q78" s="228"/>
      <c r="R78" s="228"/>
      <c r="S78" s="228"/>
      <c r="T78" s="228"/>
      <c r="U78" s="228"/>
      <c r="V78" s="228">
        <v>100</v>
      </c>
      <c r="W78" s="228"/>
    </row>
    <row r="79" spans="1:23" s="142" customFormat="1">
      <c r="A79" s="168" t="s">
        <v>1696</v>
      </c>
      <c r="B79" s="228">
        <f t="shared" si="16"/>
        <v>440</v>
      </c>
      <c r="C79" s="228"/>
      <c r="D79" s="228"/>
      <c r="E79" s="228"/>
      <c r="F79" s="228"/>
      <c r="G79" s="228"/>
      <c r="H79" s="228"/>
      <c r="I79" s="228"/>
      <c r="J79" s="228">
        <v>4</v>
      </c>
      <c r="K79" s="228">
        <v>46</v>
      </c>
      <c r="L79" s="228"/>
      <c r="M79" s="228"/>
      <c r="N79" s="228">
        <v>290</v>
      </c>
      <c r="O79" s="228"/>
      <c r="P79" s="228"/>
      <c r="Q79" s="228"/>
      <c r="R79" s="228"/>
      <c r="S79" s="228"/>
      <c r="T79" s="228"/>
      <c r="U79" s="228"/>
      <c r="V79" s="228">
        <v>100</v>
      </c>
      <c r="W79" s="228"/>
    </row>
    <row r="80" spans="1:23" s="142" customFormat="1">
      <c r="A80" s="168" t="s">
        <v>1697</v>
      </c>
      <c r="B80" s="228">
        <f t="shared" si="16"/>
        <v>0</v>
      </c>
      <c r="C80" s="228"/>
      <c r="D80" s="228"/>
      <c r="E80" s="228"/>
      <c r="F80" s="228"/>
      <c r="G80" s="228"/>
      <c r="H80" s="228"/>
      <c r="I80" s="228"/>
      <c r="J80" s="228"/>
      <c r="K80" s="228"/>
      <c r="L80" s="228"/>
      <c r="M80" s="228"/>
      <c r="N80" s="228"/>
      <c r="O80" s="228"/>
      <c r="P80" s="228"/>
      <c r="Q80" s="228"/>
      <c r="R80" s="228"/>
      <c r="S80" s="228"/>
      <c r="T80" s="228"/>
      <c r="U80" s="228"/>
      <c r="V80" s="228"/>
      <c r="W80" s="228"/>
    </row>
    <row r="81" spans="1:23" s="142" customFormat="1">
      <c r="A81" s="168" t="s">
        <v>1698</v>
      </c>
      <c r="B81" s="228">
        <f t="shared" si="16"/>
        <v>1392</v>
      </c>
      <c r="C81" s="228"/>
      <c r="D81" s="228"/>
      <c r="E81" s="228"/>
      <c r="F81" s="228"/>
      <c r="G81" s="228"/>
      <c r="H81" s="228"/>
      <c r="I81" s="228"/>
      <c r="J81" s="228"/>
      <c r="K81" s="228"/>
      <c r="L81" s="228">
        <v>1392</v>
      </c>
      <c r="M81" s="228"/>
      <c r="N81" s="228"/>
      <c r="O81" s="228"/>
      <c r="P81" s="228"/>
      <c r="Q81" s="228"/>
      <c r="R81" s="228"/>
      <c r="S81" s="228"/>
      <c r="T81" s="228"/>
      <c r="U81" s="228"/>
      <c r="V81" s="228"/>
      <c r="W81" s="228"/>
    </row>
    <row r="82" spans="1:23" s="132" customFormat="1" ht="12">
      <c r="A82" s="164" t="s">
        <v>1699</v>
      </c>
      <c r="B82" s="225">
        <f>SUM(B83:B85)</f>
        <v>7488</v>
      </c>
      <c r="C82" s="225">
        <f t="shared" ref="C82:W82" si="17">SUM(C83:C85)</f>
        <v>34</v>
      </c>
      <c r="D82" s="225">
        <f t="shared" si="17"/>
        <v>0</v>
      </c>
      <c r="E82" s="225">
        <f t="shared" si="17"/>
        <v>0</v>
      </c>
      <c r="F82" s="225">
        <f t="shared" si="17"/>
        <v>0</v>
      </c>
      <c r="G82" s="225">
        <f t="shared" si="17"/>
        <v>0</v>
      </c>
      <c r="H82" s="225">
        <f t="shared" si="17"/>
        <v>0</v>
      </c>
      <c r="I82" s="225">
        <f t="shared" si="17"/>
        <v>0</v>
      </c>
      <c r="J82" s="225">
        <f t="shared" si="17"/>
        <v>37</v>
      </c>
      <c r="K82" s="225">
        <f t="shared" si="17"/>
        <v>1135</v>
      </c>
      <c r="L82" s="225">
        <f t="shared" si="17"/>
        <v>0</v>
      </c>
      <c r="M82" s="225">
        <f t="shared" si="17"/>
        <v>0</v>
      </c>
      <c r="N82" s="225">
        <f t="shared" si="17"/>
        <v>3281</v>
      </c>
      <c r="O82" s="225">
        <f t="shared" si="17"/>
        <v>0</v>
      </c>
      <c r="P82" s="225">
        <f t="shared" si="17"/>
        <v>278</v>
      </c>
      <c r="Q82" s="225">
        <f t="shared" si="17"/>
        <v>563</v>
      </c>
      <c r="R82" s="225">
        <f t="shared" si="17"/>
        <v>0</v>
      </c>
      <c r="S82" s="225">
        <f t="shared" si="17"/>
        <v>810</v>
      </c>
      <c r="T82" s="225">
        <f t="shared" si="17"/>
        <v>0</v>
      </c>
      <c r="U82" s="225">
        <f t="shared" si="17"/>
        <v>0</v>
      </c>
      <c r="V82" s="225">
        <f t="shared" si="17"/>
        <v>1350</v>
      </c>
      <c r="W82" s="225">
        <f t="shared" si="17"/>
        <v>0</v>
      </c>
    </row>
    <row r="83" spans="1:23" s="132" customFormat="1" ht="12">
      <c r="A83" s="170" t="s">
        <v>1685</v>
      </c>
      <c r="B83" s="225">
        <f>SUM(C83:W83)</f>
        <v>3087</v>
      </c>
      <c r="C83" s="225">
        <v>34</v>
      </c>
      <c r="D83" s="225"/>
      <c r="E83" s="225"/>
      <c r="F83" s="225"/>
      <c r="G83" s="225"/>
      <c r="H83" s="225"/>
      <c r="I83" s="225"/>
      <c r="J83" s="225">
        <v>11</v>
      </c>
      <c r="K83" s="225">
        <v>439</v>
      </c>
      <c r="L83" s="225"/>
      <c r="M83" s="225"/>
      <c r="N83" s="225">
        <v>165</v>
      </c>
      <c r="O83" s="225"/>
      <c r="P83" s="225">
        <v>278</v>
      </c>
      <c r="Q83" s="225"/>
      <c r="R83" s="225"/>
      <c r="S83" s="225">
        <v>810</v>
      </c>
      <c r="T83" s="225"/>
      <c r="U83" s="225"/>
      <c r="V83" s="225">
        <v>1350</v>
      </c>
      <c r="W83" s="225"/>
    </row>
    <row r="84" spans="1:23" s="132" customFormat="1" ht="12">
      <c r="A84" s="167" t="s">
        <v>1700</v>
      </c>
      <c r="B84" s="225">
        <f t="shared" ref="B84:B94" si="18">SUM(C84:W84)</f>
        <v>400</v>
      </c>
      <c r="C84" s="225"/>
      <c r="D84" s="225"/>
      <c r="E84" s="225"/>
      <c r="F84" s="225"/>
      <c r="G84" s="225"/>
      <c r="H84" s="225"/>
      <c r="I84" s="225"/>
      <c r="J84" s="225"/>
      <c r="K84" s="225"/>
      <c r="L84" s="225"/>
      <c r="M84" s="225"/>
      <c r="N84" s="225"/>
      <c r="O84" s="225"/>
      <c r="P84" s="225"/>
      <c r="Q84" s="225">
        <v>400</v>
      </c>
      <c r="R84" s="225"/>
      <c r="S84" s="225"/>
      <c r="T84" s="225"/>
      <c r="U84" s="225">
        <v>0</v>
      </c>
      <c r="V84" s="225">
        <v>0</v>
      </c>
      <c r="W84" s="225">
        <v>0</v>
      </c>
    </row>
    <row r="85" spans="1:23" s="132" customFormat="1" ht="12">
      <c r="A85" s="167" t="s">
        <v>1194</v>
      </c>
      <c r="B85" s="225">
        <f t="shared" si="18"/>
        <v>4001</v>
      </c>
      <c r="C85" s="226">
        <f>SUM(C86:C94)</f>
        <v>0</v>
      </c>
      <c r="D85" s="226">
        <f t="shared" ref="D85:W85" si="19">SUM(D86:D94)</f>
        <v>0</v>
      </c>
      <c r="E85" s="226">
        <f t="shared" si="19"/>
        <v>0</v>
      </c>
      <c r="F85" s="226">
        <f t="shared" si="19"/>
        <v>0</v>
      </c>
      <c r="G85" s="226">
        <f t="shared" si="19"/>
        <v>0</v>
      </c>
      <c r="H85" s="226">
        <f t="shared" si="19"/>
        <v>0</v>
      </c>
      <c r="I85" s="226">
        <f t="shared" si="19"/>
        <v>0</v>
      </c>
      <c r="J85" s="226">
        <f t="shared" si="19"/>
        <v>26</v>
      </c>
      <c r="K85" s="226">
        <f t="shared" si="19"/>
        <v>696</v>
      </c>
      <c r="L85" s="226">
        <f t="shared" si="19"/>
        <v>0</v>
      </c>
      <c r="M85" s="226">
        <f t="shared" si="19"/>
        <v>0</v>
      </c>
      <c r="N85" s="226">
        <f t="shared" si="19"/>
        <v>3116</v>
      </c>
      <c r="O85" s="226">
        <f t="shared" si="19"/>
        <v>0</v>
      </c>
      <c r="P85" s="226">
        <f t="shared" si="19"/>
        <v>0</v>
      </c>
      <c r="Q85" s="226">
        <f t="shared" si="19"/>
        <v>163</v>
      </c>
      <c r="R85" s="226">
        <f t="shared" si="19"/>
        <v>0</v>
      </c>
      <c r="S85" s="226">
        <f t="shared" si="19"/>
        <v>0</v>
      </c>
      <c r="T85" s="226">
        <f t="shared" si="19"/>
        <v>0</v>
      </c>
      <c r="U85" s="226">
        <f t="shared" si="19"/>
        <v>0</v>
      </c>
      <c r="V85" s="226">
        <f t="shared" si="19"/>
        <v>0</v>
      </c>
      <c r="W85" s="226">
        <f t="shared" si="19"/>
        <v>0</v>
      </c>
    </row>
    <row r="86" spans="1:23" s="132" customFormat="1" ht="12">
      <c r="A86" s="167" t="s">
        <v>1701</v>
      </c>
      <c r="B86" s="225">
        <f t="shared" si="18"/>
        <v>523</v>
      </c>
      <c r="C86" s="226">
        <v>0</v>
      </c>
      <c r="D86" s="226">
        <v>0</v>
      </c>
      <c r="E86" s="226">
        <v>0</v>
      </c>
      <c r="F86" s="226">
        <v>0</v>
      </c>
      <c r="G86" s="226">
        <v>0</v>
      </c>
      <c r="H86" s="226">
        <v>0</v>
      </c>
      <c r="I86" s="226">
        <v>0</v>
      </c>
      <c r="J86" s="226">
        <v>3</v>
      </c>
      <c r="K86" s="226">
        <v>207</v>
      </c>
      <c r="L86" s="226">
        <v>0</v>
      </c>
      <c r="M86" s="226">
        <v>0</v>
      </c>
      <c r="N86" s="226">
        <v>150</v>
      </c>
      <c r="O86" s="226">
        <v>0</v>
      </c>
      <c r="P86" s="226">
        <v>0</v>
      </c>
      <c r="Q86" s="226">
        <v>163</v>
      </c>
      <c r="R86" s="226">
        <v>0</v>
      </c>
      <c r="S86" s="226">
        <v>0</v>
      </c>
      <c r="T86" s="226">
        <v>0</v>
      </c>
      <c r="U86" s="226">
        <v>0</v>
      </c>
      <c r="V86" s="226">
        <v>0</v>
      </c>
      <c r="W86" s="226">
        <v>0</v>
      </c>
    </row>
    <row r="87" spans="1:23" s="132" customFormat="1" ht="12">
      <c r="A87" s="167" t="s">
        <v>1600</v>
      </c>
      <c r="B87" s="225">
        <f t="shared" si="18"/>
        <v>556</v>
      </c>
      <c r="C87" s="226"/>
      <c r="D87" s="226"/>
      <c r="E87" s="226"/>
      <c r="F87" s="226"/>
      <c r="G87" s="226"/>
      <c r="H87" s="226"/>
      <c r="I87" s="226"/>
      <c r="J87" s="226">
        <v>2</v>
      </c>
      <c r="K87" s="226">
        <v>74</v>
      </c>
      <c r="L87" s="226"/>
      <c r="M87" s="226"/>
      <c r="N87" s="226">
        <v>480</v>
      </c>
      <c r="O87" s="226"/>
      <c r="P87" s="226"/>
      <c r="Q87" s="226"/>
      <c r="R87" s="226"/>
      <c r="S87" s="226"/>
      <c r="T87" s="226"/>
      <c r="U87" s="226"/>
      <c r="V87" s="226"/>
      <c r="W87" s="226"/>
    </row>
    <row r="88" spans="1:23" s="132" customFormat="1" ht="12">
      <c r="A88" s="167" t="s">
        <v>1601</v>
      </c>
      <c r="B88" s="225">
        <f t="shared" si="18"/>
        <v>740</v>
      </c>
      <c r="C88" s="226"/>
      <c r="D88" s="226"/>
      <c r="E88" s="226"/>
      <c r="F88" s="226"/>
      <c r="G88" s="226"/>
      <c r="H88" s="226"/>
      <c r="I88" s="226"/>
      <c r="J88" s="226">
        <v>3</v>
      </c>
      <c r="K88" s="226">
        <v>59</v>
      </c>
      <c r="L88" s="226"/>
      <c r="M88" s="226"/>
      <c r="N88" s="226">
        <v>678</v>
      </c>
      <c r="O88" s="226"/>
      <c r="P88" s="226"/>
      <c r="Q88" s="226"/>
      <c r="R88" s="226"/>
      <c r="S88" s="226"/>
      <c r="T88" s="226"/>
      <c r="U88" s="226"/>
      <c r="V88" s="226"/>
      <c r="W88" s="226"/>
    </row>
    <row r="89" spans="1:23" s="132" customFormat="1" ht="12">
      <c r="A89" s="167" t="s">
        <v>1602</v>
      </c>
      <c r="B89" s="225">
        <f t="shared" si="18"/>
        <v>245</v>
      </c>
      <c r="C89" s="226"/>
      <c r="D89" s="226">
        <v>0</v>
      </c>
      <c r="E89" s="226">
        <v>0</v>
      </c>
      <c r="F89" s="226">
        <v>0</v>
      </c>
      <c r="G89" s="226">
        <v>0</v>
      </c>
      <c r="H89" s="226">
        <v>0</v>
      </c>
      <c r="I89" s="226">
        <v>0</v>
      </c>
      <c r="J89" s="226">
        <v>3</v>
      </c>
      <c r="K89" s="226">
        <v>47</v>
      </c>
      <c r="L89" s="226">
        <v>0</v>
      </c>
      <c r="M89" s="226">
        <v>0</v>
      </c>
      <c r="N89" s="226">
        <v>195</v>
      </c>
      <c r="O89" s="226">
        <v>0</v>
      </c>
      <c r="P89" s="226">
        <v>0</v>
      </c>
      <c r="Q89" s="226">
        <v>0</v>
      </c>
      <c r="R89" s="226">
        <v>0</v>
      </c>
      <c r="S89" s="226">
        <v>0</v>
      </c>
      <c r="T89" s="226">
        <v>0</v>
      </c>
      <c r="U89" s="226">
        <v>0</v>
      </c>
      <c r="V89" s="226">
        <v>0</v>
      </c>
      <c r="W89" s="226">
        <v>0</v>
      </c>
    </row>
    <row r="90" spans="1:23" s="132" customFormat="1" ht="12">
      <c r="A90" s="167" t="s">
        <v>1681</v>
      </c>
      <c r="B90" s="225">
        <f t="shared" si="18"/>
        <v>203</v>
      </c>
      <c r="C90" s="225"/>
      <c r="D90" s="225"/>
      <c r="E90" s="225"/>
      <c r="F90" s="225"/>
      <c r="G90" s="225"/>
      <c r="H90" s="225"/>
      <c r="I90" s="225"/>
      <c r="J90" s="225">
        <v>2</v>
      </c>
      <c r="K90" s="225">
        <v>50</v>
      </c>
      <c r="L90" s="225"/>
      <c r="M90" s="225"/>
      <c r="N90" s="225">
        <v>151</v>
      </c>
      <c r="O90" s="225"/>
      <c r="P90" s="225"/>
      <c r="Q90" s="225"/>
      <c r="R90" s="225"/>
      <c r="S90" s="225"/>
      <c r="T90" s="225"/>
      <c r="U90" s="225"/>
      <c r="V90" s="225"/>
      <c r="W90" s="225"/>
    </row>
    <row r="91" spans="1:23" s="132" customFormat="1" ht="12">
      <c r="A91" s="167" t="s">
        <v>1603</v>
      </c>
      <c r="B91" s="225">
        <f t="shared" si="18"/>
        <v>216</v>
      </c>
      <c r="C91" s="226"/>
      <c r="D91" s="226"/>
      <c r="E91" s="226"/>
      <c r="F91" s="226"/>
      <c r="G91" s="226"/>
      <c r="H91" s="226"/>
      <c r="I91" s="226"/>
      <c r="J91" s="226">
        <v>4</v>
      </c>
      <c r="K91" s="226">
        <v>94</v>
      </c>
      <c r="L91" s="226"/>
      <c r="M91" s="226"/>
      <c r="N91" s="226">
        <v>118</v>
      </c>
      <c r="O91" s="226"/>
      <c r="P91" s="226"/>
      <c r="Q91" s="226"/>
      <c r="R91" s="226"/>
      <c r="S91" s="226"/>
      <c r="T91" s="226"/>
      <c r="U91" s="226"/>
      <c r="V91" s="226"/>
      <c r="W91" s="226"/>
    </row>
    <row r="92" spans="1:23" s="132" customFormat="1" ht="12">
      <c r="A92" s="167" t="s">
        <v>1682</v>
      </c>
      <c r="B92" s="225">
        <f t="shared" si="18"/>
        <v>730</v>
      </c>
      <c r="C92" s="226">
        <v>0</v>
      </c>
      <c r="D92" s="226">
        <v>0</v>
      </c>
      <c r="E92" s="226">
        <v>0</v>
      </c>
      <c r="F92" s="226">
        <v>0</v>
      </c>
      <c r="G92" s="226">
        <v>0</v>
      </c>
      <c r="H92" s="226">
        <v>0</v>
      </c>
      <c r="I92" s="226">
        <v>0</v>
      </c>
      <c r="J92" s="226">
        <v>3</v>
      </c>
      <c r="K92" s="226">
        <v>70</v>
      </c>
      <c r="L92" s="226">
        <v>0</v>
      </c>
      <c r="M92" s="226">
        <v>0</v>
      </c>
      <c r="N92" s="226">
        <v>657</v>
      </c>
      <c r="O92" s="226"/>
      <c r="P92" s="226"/>
      <c r="Q92" s="226"/>
      <c r="R92" s="226"/>
      <c r="S92" s="226">
        <v>0</v>
      </c>
      <c r="T92" s="226">
        <v>0</v>
      </c>
      <c r="U92" s="226">
        <v>0</v>
      </c>
      <c r="V92" s="226">
        <v>0</v>
      </c>
      <c r="W92" s="226">
        <v>0</v>
      </c>
    </row>
    <row r="93" spans="1:23" s="132" customFormat="1" ht="12">
      <c r="A93" s="168" t="s">
        <v>1604</v>
      </c>
      <c r="B93" s="225">
        <f t="shared" si="18"/>
        <v>458</v>
      </c>
      <c r="C93" s="226"/>
      <c r="D93" s="226"/>
      <c r="E93" s="226"/>
      <c r="F93" s="226"/>
      <c r="G93" s="226"/>
      <c r="H93" s="226"/>
      <c r="I93" s="226"/>
      <c r="J93" s="226">
        <v>3</v>
      </c>
      <c r="K93" s="226">
        <v>50</v>
      </c>
      <c r="L93" s="226"/>
      <c r="M93" s="226"/>
      <c r="N93" s="226">
        <v>405</v>
      </c>
      <c r="O93" s="226"/>
      <c r="P93" s="226"/>
      <c r="Q93" s="226"/>
      <c r="R93" s="226"/>
      <c r="S93" s="226"/>
      <c r="T93" s="226"/>
      <c r="U93" s="226"/>
      <c r="V93" s="226"/>
      <c r="W93" s="226"/>
    </row>
    <row r="94" spans="1:23" s="132" customFormat="1" ht="12">
      <c r="A94" s="167" t="s">
        <v>1683</v>
      </c>
      <c r="B94" s="225">
        <f t="shared" si="18"/>
        <v>330</v>
      </c>
      <c r="C94" s="226">
        <v>0</v>
      </c>
      <c r="D94" s="226">
        <v>0</v>
      </c>
      <c r="E94" s="226">
        <v>0</v>
      </c>
      <c r="F94" s="226">
        <v>0</v>
      </c>
      <c r="G94" s="226">
        <v>0</v>
      </c>
      <c r="H94" s="226">
        <v>0</v>
      </c>
      <c r="I94" s="226">
        <v>0</v>
      </c>
      <c r="J94" s="226">
        <v>3</v>
      </c>
      <c r="K94" s="226">
        <v>45</v>
      </c>
      <c r="L94" s="226">
        <v>0</v>
      </c>
      <c r="M94" s="226">
        <v>0</v>
      </c>
      <c r="N94" s="226">
        <v>282</v>
      </c>
      <c r="O94" s="226"/>
      <c r="P94" s="226"/>
      <c r="Q94" s="226"/>
      <c r="R94" s="226"/>
      <c r="S94" s="226">
        <v>0</v>
      </c>
      <c r="T94" s="226">
        <v>0</v>
      </c>
      <c r="U94" s="226">
        <v>0</v>
      </c>
      <c r="V94" s="226">
        <v>0</v>
      </c>
      <c r="W94" s="226">
        <v>0</v>
      </c>
    </row>
    <row r="95" spans="1:23" s="134" customFormat="1" ht="12">
      <c r="A95" s="165" t="s">
        <v>1684</v>
      </c>
      <c r="B95" s="229">
        <f t="shared" ref="B95:W95" si="20">SUM(B96:B97)</f>
        <v>50603</v>
      </c>
      <c r="C95" s="229">
        <f t="shared" si="20"/>
        <v>37</v>
      </c>
      <c r="D95" s="229">
        <f t="shared" si="20"/>
        <v>0</v>
      </c>
      <c r="E95" s="229">
        <f t="shared" si="20"/>
        <v>0</v>
      </c>
      <c r="F95" s="229">
        <f t="shared" si="20"/>
        <v>0</v>
      </c>
      <c r="G95" s="229">
        <f t="shared" si="20"/>
        <v>0</v>
      </c>
      <c r="H95" s="229">
        <f t="shared" si="20"/>
        <v>0</v>
      </c>
      <c r="I95" s="229">
        <f t="shared" si="20"/>
        <v>0</v>
      </c>
      <c r="J95" s="229">
        <f t="shared" si="20"/>
        <v>66</v>
      </c>
      <c r="K95" s="229">
        <f t="shared" si="20"/>
        <v>1877</v>
      </c>
      <c r="L95" s="229">
        <f t="shared" si="20"/>
        <v>1430</v>
      </c>
      <c r="M95" s="229">
        <f t="shared" si="20"/>
        <v>0</v>
      </c>
      <c r="N95" s="229">
        <f t="shared" si="20"/>
        <v>45369</v>
      </c>
      <c r="O95" s="229">
        <f t="shared" si="20"/>
        <v>0</v>
      </c>
      <c r="P95" s="229">
        <f t="shared" si="20"/>
        <v>0</v>
      </c>
      <c r="Q95" s="229">
        <f t="shared" si="20"/>
        <v>804</v>
      </c>
      <c r="R95" s="229">
        <f t="shared" si="20"/>
        <v>0</v>
      </c>
      <c r="S95" s="229">
        <f t="shared" si="20"/>
        <v>0</v>
      </c>
      <c r="T95" s="229">
        <f t="shared" si="20"/>
        <v>0</v>
      </c>
      <c r="U95" s="229">
        <f t="shared" si="20"/>
        <v>0</v>
      </c>
      <c r="V95" s="229">
        <f t="shared" si="20"/>
        <v>1020</v>
      </c>
      <c r="W95" s="229">
        <f t="shared" si="20"/>
        <v>0</v>
      </c>
    </row>
    <row r="96" spans="1:23" s="134" customFormat="1" ht="12">
      <c r="A96" s="171" t="s">
        <v>1193</v>
      </c>
      <c r="B96" s="224">
        <f>SUM(C96:W96)</f>
        <v>2415</v>
      </c>
      <c r="C96" s="222">
        <v>37</v>
      </c>
      <c r="D96" s="222"/>
      <c r="E96" s="222"/>
      <c r="F96" s="222"/>
      <c r="G96" s="222"/>
      <c r="H96" s="222"/>
      <c r="I96" s="222"/>
      <c r="J96" s="222"/>
      <c r="K96" s="222">
        <v>554</v>
      </c>
      <c r="L96" s="222"/>
      <c r="M96" s="222"/>
      <c r="N96" s="222"/>
      <c r="O96" s="222"/>
      <c r="P96" s="222"/>
      <c r="Q96" s="222">
        <v>804</v>
      </c>
      <c r="R96" s="222"/>
      <c r="S96" s="222"/>
      <c r="T96" s="222"/>
      <c r="U96" s="222"/>
      <c r="V96" s="222">
        <v>1020</v>
      </c>
      <c r="W96" s="222"/>
    </row>
    <row r="97" spans="1:23" s="134" customFormat="1" ht="12">
      <c r="A97" s="171" t="s">
        <v>1194</v>
      </c>
      <c r="B97" s="224">
        <f>SUM(C97:W97)</f>
        <v>48188</v>
      </c>
      <c r="C97" s="229">
        <f t="shared" ref="C97:W97" si="21">SUM(C98:C107)</f>
        <v>0</v>
      </c>
      <c r="D97" s="229">
        <f t="shared" si="21"/>
        <v>0</v>
      </c>
      <c r="E97" s="229">
        <f t="shared" si="21"/>
        <v>0</v>
      </c>
      <c r="F97" s="229">
        <f t="shared" si="21"/>
        <v>0</v>
      </c>
      <c r="G97" s="229">
        <f t="shared" si="21"/>
        <v>0</v>
      </c>
      <c r="H97" s="229">
        <f t="shared" si="21"/>
        <v>0</v>
      </c>
      <c r="I97" s="229">
        <f t="shared" si="21"/>
        <v>0</v>
      </c>
      <c r="J97" s="229">
        <f t="shared" si="21"/>
        <v>66</v>
      </c>
      <c r="K97" s="229">
        <f t="shared" si="21"/>
        <v>1323</v>
      </c>
      <c r="L97" s="229">
        <f t="shared" si="21"/>
        <v>1430</v>
      </c>
      <c r="M97" s="229">
        <f t="shared" si="21"/>
        <v>0</v>
      </c>
      <c r="N97" s="229">
        <f t="shared" si="21"/>
        <v>45369</v>
      </c>
      <c r="O97" s="229">
        <f t="shared" si="21"/>
        <v>0</v>
      </c>
      <c r="P97" s="229">
        <f t="shared" si="21"/>
        <v>0</v>
      </c>
      <c r="Q97" s="229">
        <f t="shared" si="21"/>
        <v>0</v>
      </c>
      <c r="R97" s="229">
        <f t="shared" si="21"/>
        <v>0</v>
      </c>
      <c r="S97" s="229">
        <f t="shared" si="21"/>
        <v>0</v>
      </c>
      <c r="T97" s="229">
        <f t="shared" si="21"/>
        <v>0</v>
      </c>
      <c r="U97" s="229">
        <f t="shared" si="21"/>
        <v>0</v>
      </c>
      <c r="V97" s="229">
        <f t="shared" si="21"/>
        <v>0</v>
      </c>
      <c r="W97" s="229">
        <f t="shared" si="21"/>
        <v>0</v>
      </c>
    </row>
    <row r="98" spans="1:23" s="134" customFormat="1" ht="12">
      <c r="A98" s="167" t="s">
        <v>1605</v>
      </c>
      <c r="B98" s="229"/>
      <c r="C98" s="229"/>
      <c r="D98" s="229"/>
      <c r="E98" s="229"/>
      <c r="F98" s="229"/>
      <c r="G98" s="229"/>
      <c r="H98" s="229"/>
      <c r="I98" s="229"/>
      <c r="J98" s="229"/>
      <c r="K98" s="229"/>
      <c r="L98" s="229"/>
      <c r="M98" s="229"/>
      <c r="N98" s="229"/>
      <c r="O98" s="229"/>
      <c r="P98" s="229"/>
      <c r="Q98" s="229"/>
      <c r="R98" s="229"/>
      <c r="S98" s="229"/>
      <c r="T98" s="229"/>
      <c r="U98" s="229"/>
      <c r="V98" s="229"/>
      <c r="W98" s="229"/>
    </row>
    <row r="99" spans="1:23" s="134" customFormat="1" ht="12">
      <c r="A99" s="167" t="s">
        <v>1606</v>
      </c>
      <c r="B99" s="224">
        <f t="shared" ref="B99:B107" si="22">SUM(C99:W99)</f>
        <v>8997</v>
      </c>
      <c r="C99" s="224"/>
      <c r="D99" s="224"/>
      <c r="E99" s="224"/>
      <c r="F99" s="224"/>
      <c r="G99" s="224"/>
      <c r="H99" s="224"/>
      <c r="I99" s="224"/>
      <c r="J99" s="224">
        <v>12</v>
      </c>
      <c r="K99" s="224">
        <v>235</v>
      </c>
      <c r="L99" s="224">
        <v>750</v>
      </c>
      <c r="M99" s="224"/>
      <c r="N99" s="224">
        <v>8000</v>
      </c>
      <c r="O99" s="224"/>
      <c r="P99" s="224"/>
      <c r="Q99" s="224"/>
      <c r="R99" s="224"/>
      <c r="S99" s="224"/>
      <c r="T99" s="224"/>
      <c r="U99" s="224"/>
      <c r="V99" s="224"/>
      <c r="W99" s="224"/>
    </row>
    <row r="100" spans="1:23" s="148" customFormat="1" ht="12">
      <c r="A100" s="167" t="s">
        <v>1607</v>
      </c>
      <c r="B100" s="224">
        <f t="shared" si="22"/>
        <v>6720</v>
      </c>
      <c r="C100" s="224"/>
      <c r="D100" s="224"/>
      <c r="E100" s="224"/>
      <c r="F100" s="224"/>
      <c r="G100" s="224"/>
      <c r="H100" s="224"/>
      <c r="I100" s="224"/>
      <c r="J100" s="224">
        <v>10</v>
      </c>
      <c r="K100" s="224">
        <v>272</v>
      </c>
      <c r="L100" s="224">
        <v>600</v>
      </c>
      <c r="M100" s="224"/>
      <c r="N100" s="224">
        <v>5838</v>
      </c>
      <c r="O100" s="224"/>
      <c r="P100" s="224"/>
      <c r="Q100" s="224"/>
      <c r="R100" s="224"/>
      <c r="S100" s="224"/>
      <c r="T100" s="224"/>
      <c r="U100" s="224"/>
      <c r="V100" s="224"/>
      <c r="W100" s="224"/>
    </row>
    <row r="101" spans="1:23" s="147" customFormat="1" ht="12">
      <c r="A101" s="167" t="s">
        <v>1608</v>
      </c>
      <c r="B101" s="229">
        <f t="shared" si="22"/>
        <v>3879</v>
      </c>
      <c r="C101" s="224"/>
      <c r="D101" s="229"/>
      <c r="E101" s="229"/>
      <c r="F101" s="224"/>
      <c r="G101" s="224"/>
      <c r="H101" s="229"/>
      <c r="I101" s="224"/>
      <c r="J101" s="224">
        <v>8</v>
      </c>
      <c r="K101" s="224">
        <v>123</v>
      </c>
      <c r="L101" s="224"/>
      <c r="M101" s="229"/>
      <c r="N101" s="224">
        <v>3748</v>
      </c>
      <c r="O101" s="224"/>
      <c r="P101" s="229"/>
      <c r="Q101" s="229"/>
      <c r="R101" s="229"/>
      <c r="S101" s="229"/>
      <c r="T101" s="224"/>
      <c r="U101" s="224"/>
      <c r="V101" s="229"/>
      <c r="W101" s="229"/>
    </row>
    <row r="102" spans="1:23" s="134" customFormat="1" ht="12">
      <c r="A102" s="167" t="s">
        <v>1609</v>
      </c>
      <c r="B102" s="224">
        <f t="shared" si="22"/>
        <v>7599</v>
      </c>
      <c r="C102" s="224"/>
      <c r="D102" s="224"/>
      <c r="E102" s="224"/>
      <c r="F102" s="224"/>
      <c r="G102" s="224"/>
      <c r="H102" s="224"/>
      <c r="I102" s="224"/>
      <c r="J102" s="224">
        <v>7</v>
      </c>
      <c r="K102" s="224">
        <v>128</v>
      </c>
      <c r="L102" s="224">
        <v>80</v>
      </c>
      <c r="M102" s="224"/>
      <c r="N102" s="230">
        <v>7384</v>
      </c>
      <c r="O102" s="224"/>
      <c r="P102" s="224"/>
      <c r="Q102" s="224"/>
      <c r="R102" s="224"/>
      <c r="S102" s="224"/>
      <c r="T102" s="224"/>
      <c r="U102" s="224"/>
      <c r="V102" s="224"/>
      <c r="W102" s="224"/>
    </row>
    <row r="103" spans="1:23" s="134" customFormat="1" ht="12">
      <c r="A103" s="167" t="s">
        <v>1610</v>
      </c>
      <c r="B103" s="224">
        <f t="shared" si="22"/>
        <v>5207</v>
      </c>
      <c r="C103" s="224"/>
      <c r="D103" s="224"/>
      <c r="E103" s="224"/>
      <c r="F103" s="224"/>
      <c r="G103" s="224"/>
      <c r="H103" s="224"/>
      <c r="I103" s="224"/>
      <c r="J103" s="224">
        <v>8</v>
      </c>
      <c r="K103" s="224">
        <v>145</v>
      </c>
      <c r="L103" s="224"/>
      <c r="M103" s="224"/>
      <c r="N103" s="224">
        <v>5054</v>
      </c>
      <c r="O103" s="224"/>
      <c r="P103" s="224"/>
      <c r="Q103" s="224"/>
      <c r="R103" s="224"/>
      <c r="S103" s="224"/>
      <c r="T103" s="224"/>
      <c r="U103" s="224"/>
      <c r="V103" s="229"/>
      <c r="W103" s="229"/>
    </row>
    <row r="104" spans="1:23" s="134" customFormat="1" ht="12">
      <c r="A104" s="167" t="s">
        <v>1611</v>
      </c>
      <c r="B104" s="224">
        <f t="shared" si="22"/>
        <v>6947</v>
      </c>
      <c r="C104" s="224"/>
      <c r="D104" s="224"/>
      <c r="E104" s="224"/>
      <c r="F104" s="224"/>
      <c r="G104" s="224"/>
      <c r="H104" s="224"/>
      <c r="I104" s="224"/>
      <c r="J104" s="224">
        <v>6</v>
      </c>
      <c r="K104" s="224">
        <v>103</v>
      </c>
      <c r="L104" s="224"/>
      <c r="M104" s="224"/>
      <c r="N104" s="224">
        <v>6838</v>
      </c>
      <c r="O104" s="224"/>
      <c r="P104" s="224"/>
      <c r="Q104" s="224"/>
      <c r="R104" s="224"/>
      <c r="S104" s="224"/>
      <c r="T104" s="224"/>
      <c r="U104" s="224"/>
      <c r="V104" s="224"/>
      <c r="W104" s="224"/>
    </row>
    <row r="105" spans="1:23" s="134" customFormat="1" ht="12">
      <c r="A105" s="167" t="s">
        <v>1612</v>
      </c>
      <c r="B105" s="224">
        <f t="shared" si="22"/>
        <v>3946</v>
      </c>
      <c r="C105" s="224"/>
      <c r="D105" s="224"/>
      <c r="E105" s="224"/>
      <c r="F105" s="224"/>
      <c r="G105" s="224"/>
      <c r="H105" s="224"/>
      <c r="I105" s="224"/>
      <c r="J105" s="224">
        <v>5</v>
      </c>
      <c r="K105" s="224">
        <v>123</v>
      </c>
      <c r="L105" s="224"/>
      <c r="M105" s="224"/>
      <c r="N105" s="224">
        <v>3818</v>
      </c>
      <c r="O105" s="224"/>
      <c r="P105" s="224"/>
      <c r="Q105" s="224"/>
      <c r="R105" s="224"/>
      <c r="S105" s="224"/>
      <c r="T105" s="224"/>
      <c r="U105" s="224"/>
      <c r="V105" s="224"/>
      <c r="W105" s="224"/>
    </row>
    <row r="106" spans="1:23" s="134" customFormat="1" ht="12">
      <c r="A106" s="167" t="s">
        <v>1613</v>
      </c>
      <c r="B106" s="224">
        <f t="shared" si="22"/>
        <v>3693</v>
      </c>
      <c r="C106" s="224"/>
      <c r="D106" s="224"/>
      <c r="E106" s="224"/>
      <c r="F106" s="224"/>
      <c r="G106" s="224"/>
      <c r="H106" s="224"/>
      <c r="I106" s="224"/>
      <c r="J106" s="224">
        <v>7</v>
      </c>
      <c r="K106" s="224">
        <v>140</v>
      </c>
      <c r="L106" s="224"/>
      <c r="M106" s="224"/>
      <c r="N106" s="224">
        <v>3546</v>
      </c>
      <c r="O106" s="224"/>
      <c r="P106" s="224"/>
      <c r="Q106" s="224"/>
      <c r="R106" s="224"/>
      <c r="S106" s="224"/>
      <c r="T106" s="224"/>
      <c r="U106" s="224"/>
      <c r="V106" s="224"/>
      <c r="W106" s="229"/>
    </row>
    <row r="107" spans="1:23" s="134" customFormat="1" ht="12">
      <c r="A107" s="167" t="s">
        <v>1614</v>
      </c>
      <c r="B107" s="224">
        <f t="shared" si="22"/>
        <v>1200</v>
      </c>
      <c r="C107" s="224"/>
      <c r="D107" s="224"/>
      <c r="E107" s="224"/>
      <c r="F107" s="224"/>
      <c r="G107" s="224"/>
      <c r="H107" s="224"/>
      <c r="I107" s="224"/>
      <c r="J107" s="224">
        <v>3</v>
      </c>
      <c r="K107" s="224">
        <v>54</v>
      </c>
      <c r="L107" s="224"/>
      <c r="M107" s="224"/>
      <c r="N107" s="224">
        <v>1143</v>
      </c>
      <c r="O107" s="224"/>
      <c r="P107" s="224"/>
      <c r="Q107" s="224"/>
      <c r="R107" s="224"/>
      <c r="S107" s="224"/>
      <c r="T107" s="224"/>
      <c r="U107" s="224"/>
      <c r="V107" s="224"/>
      <c r="W107" s="224"/>
    </row>
    <row r="108" spans="1:23" ht="17.25" customHeight="1">
      <c r="A108" s="161" t="s">
        <v>1615</v>
      </c>
      <c r="B108" s="226">
        <f>SUM(B109,B110)</f>
        <v>139500</v>
      </c>
      <c r="C108" s="231">
        <f>C109+C110</f>
        <v>1000</v>
      </c>
      <c r="D108" s="231">
        <f t="shared" ref="D108:W108" si="23">D109+D110</f>
        <v>0</v>
      </c>
      <c r="E108" s="231">
        <f t="shared" si="23"/>
        <v>0</v>
      </c>
      <c r="F108" s="231">
        <f t="shared" si="23"/>
        <v>0</v>
      </c>
      <c r="G108" s="231">
        <f t="shared" si="23"/>
        <v>4000</v>
      </c>
      <c r="H108" s="231">
        <f t="shared" si="23"/>
        <v>0</v>
      </c>
      <c r="I108" s="231">
        <f t="shared" si="23"/>
        <v>5000</v>
      </c>
      <c r="J108" s="231">
        <f t="shared" si="23"/>
        <v>500</v>
      </c>
      <c r="K108" s="231">
        <f t="shared" si="23"/>
        <v>13000</v>
      </c>
      <c r="L108" s="231">
        <f t="shared" si="23"/>
        <v>3000</v>
      </c>
      <c r="M108" s="231">
        <f t="shared" si="23"/>
        <v>2000</v>
      </c>
      <c r="N108" s="231">
        <f t="shared" si="23"/>
        <v>83000</v>
      </c>
      <c r="O108" s="231">
        <f t="shared" si="23"/>
        <v>0</v>
      </c>
      <c r="P108" s="231">
        <f t="shared" si="23"/>
        <v>0</v>
      </c>
      <c r="Q108" s="231">
        <f t="shared" si="23"/>
        <v>0</v>
      </c>
      <c r="R108" s="231">
        <f t="shared" si="23"/>
        <v>0</v>
      </c>
      <c r="S108" s="231">
        <f t="shared" si="23"/>
        <v>0</v>
      </c>
      <c r="T108" s="231">
        <f t="shared" si="23"/>
        <v>12000</v>
      </c>
      <c r="U108" s="231">
        <f t="shared" si="23"/>
        <v>0</v>
      </c>
      <c r="V108" s="231">
        <f t="shared" si="23"/>
        <v>3000</v>
      </c>
      <c r="W108" s="231">
        <f t="shared" si="23"/>
        <v>13000</v>
      </c>
    </row>
    <row r="109" spans="1:23" ht="17.25" customHeight="1">
      <c r="A109" s="167" t="s">
        <v>1193</v>
      </c>
      <c r="B109" s="226">
        <f>SUM(C109:W109)</f>
        <v>14300</v>
      </c>
      <c r="C109" s="231">
        <v>500</v>
      </c>
      <c r="D109" s="231"/>
      <c r="E109" s="231"/>
      <c r="F109" s="231"/>
      <c r="G109" s="231">
        <v>400</v>
      </c>
      <c r="H109" s="231"/>
      <c r="I109" s="231"/>
      <c r="J109" s="231"/>
      <c r="K109" s="231">
        <v>5000</v>
      </c>
      <c r="L109" s="231"/>
      <c r="M109" s="231"/>
      <c r="N109" s="231">
        <v>8400</v>
      </c>
      <c r="O109" s="231"/>
      <c r="P109" s="231"/>
      <c r="Q109" s="231"/>
      <c r="R109" s="231"/>
      <c r="S109" s="231"/>
      <c r="T109" s="231"/>
      <c r="U109" s="231"/>
      <c r="V109" s="231"/>
      <c r="W109" s="231"/>
    </row>
    <row r="110" spans="1:23" ht="17.25" customHeight="1">
      <c r="A110" s="167" t="s">
        <v>1194</v>
      </c>
      <c r="B110" s="226">
        <f>SUM(B111:B114)</f>
        <v>125200</v>
      </c>
      <c r="C110" s="231">
        <f>SUM(C111:C114)</f>
        <v>500</v>
      </c>
      <c r="D110" s="231">
        <f t="shared" ref="D110:W110" si="24">SUM(D111:D114)</f>
        <v>0</v>
      </c>
      <c r="E110" s="231">
        <f t="shared" si="24"/>
        <v>0</v>
      </c>
      <c r="F110" s="231">
        <f t="shared" si="24"/>
        <v>0</v>
      </c>
      <c r="G110" s="231">
        <f t="shared" si="24"/>
        <v>3600</v>
      </c>
      <c r="H110" s="231">
        <f t="shared" si="24"/>
        <v>0</v>
      </c>
      <c r="I110" s="231">
        <f t="shared" si="24"/>
        <v>5000</v>
      </c>
      <c r="J110" s="231">
        <f t="shared" si="24"/>
        <v>500</v>
      </c>
      <c r="K110" s="231">
        <f t="shared" si="24"/>
        <v>8000</v>
      </c>
      <c r="L110" s="231">
        <f t="shared" si="24"/>
        <v>3000</v>
      </c>
      <c r="M110" s="231">
        <f t="shared" si="24"/>
        <v>2000</v>
      </c>
      <c r="N110" s="231">
        <f t="shared" si="24"/>
        <v>74600</v>
      </c>
      <c r="O110" s="231">
        <f t="shared" si="24"/>
        <v>0</v>
      </c>
      <c r="P110" s="231">
        <f t="shared" si="24"/>
        <v>0</v>
      </c>
      <c r="Q110" s="231">
        <f t="shared" si="24"/>
        <v>0</v>
      </c>
      <c r="R110" s="231">
        <f t="shared" si="24"/>
        <v>0</v>
      </c>
      <c r="S110" s="231">
        <f t="shared" si="24"/>
        <v>0</v>
      </c>
      <c r="T110" s="231">
        <f t="shared" si="24"/>
        <v>12000</v>
      </c>
      <c r="U110" s="231">
        <f t="shared" si="24"/>
        <v>0</v>
      </c>
      <c r="V110" s="231">
        <f t="shared" si="24"/>
        <v>3000</v>
      </c>
      <c r="W110" s="231">
        <f t="shared" si="24"/>
        <v>13000</v>
      </c>
    </row>
    <row r="111" spans="1:23" ht="17.25" customHeight="1">
      <c r="A111" s="167" t="s">
        <v>1616</v>
      </c>
      <c r="B111" s="226">
        <f>SUM(C111:W111)</f>
        <v>54039</v>
      </c>
      <c r="C111" s="231">
        <v>500</v>
      </c>
      <c r="D111" s="231"/>
      <c r="E111" s="231"/>
      <c r="F111" s="231"/>
      <c r="G111" s="231">
        <v>1739</v>
      </c>
      <c r="H111" s="231"/>
      <c r="I111" s="231">
        <v>1707</v>
      </c>
      <c r="J111" s="231">
        <v>200</v>
      </c>
      <c r="K111" s="231">
        <f>4932-887-1000</f>
        <v>3045</v>
      </c>
      <c r="L111" s="231">
        <f>2755-1303</f>
        <v>1452</v>
      </c>
      <c r="M111" s="231">
        <v>803</v>
      </c>
      <c r="N111" s="231">
        <f>60117-1185-20000-1859-1350</f>
        <v>35723</v>
      </c>
      <c r="O111" s="231"/>
      <c r="P111" s="231"/>
      <c r="Q111" s="231"/>
      <c r="R111" s="231"/>
      <c r="S111" s="231"/>
      <c r="T111" s="231">
        <v>5118</v>
      </c>
      <c r="U111" s="231"/>
      <c r="V111" s="231">
        <v>1535</v>
      </c>
      <c r="W111" s="231">
        <v>2217</v>
      </c>
    </row>
    <row r="112" spans="1:23" ht="17.25" customHeight="1">
      <c r="A112" s="167" t="s">
        <v>1617</v>
      </c>
      <c r="B112" s="226">
        <f>SUM(C112:W112)</f>
        <v>48591</v>
      </c>
      <c r="C112" s="231"/>
      <c r="D112" s="231"/>
      <c r="E112" s="231"/>
      <c r="F112" s="231"/>
      <c r="G112" s="231">
        <v>1400</v>
      </c>
      <c r="H112" s="231"/>
      <c r="I112" s="231">
        <v>1800</v>
      </c>
      <c r="J112" s="231">
        <v>100</v>
      </c>
      <c r="K112" s="231">
        <v>2450</v>
      </c>
      <c r="L112" s="231">
        <v>1400</v>
      </c>
      <c r="M112" s="231">
        <v>260</v>
      </c>
      <c r="N112" s="231">
        <f>31000+1859+418</f>
        <v>33277</v>
      </c>
      <c r="O112" s="231"/>
      <c r="P112" s="231"/>
      <c r="Q112" s="231"/>
      <c r="R112" s="231"/>
      <c r="S112" s="231"/>
      <c r="T112" s="231">
        <f>5000-292</f>
        <v>4708</v>
      </c>
      <c r="U112" s="231"/>
      <c r="V112" s="231">
        <f>515+900</f>
        <v>1415</v>
      </c>
      <c r="W112" s="231">
        <f>591+190+1000</f>
        <v>1781</v>
      </c>
    </row>
    <row r="113" spans="1:23" ht="17.25" customHeight="1">
      <c r="A113" s="167" t="s">
        <v>1618</v>
      </c>
      <c r="B113" s="226">
        <f>SUM(C113:W113)</f>
        <v>12752</v>
      </c>
      <c r="C113" s="231"/>
      <c r="D113" s="231"/>
      <c r="E113" s="231"/>
      <c r="F113" s="231"/>
      <c r="G113" s="231">
        <v>206</v>
      </c>
      <c r="H113" s="231"/>
      <c r="I113" s="231">
        <f>1965-472</f>
        <v>1493</v>
      </c>
      <c r="J113" s="231">
        <v>100</v>
      </c>
      <c r="K113" s="231">
        <v>1600</v>
      </c>
      <c r="L113" s="231">
        <v>134</v>
      </c>
      <c r="M113" s="231"/>
      <c r="N113" s="231">
        <f>1048</f>
        <v>1048</v>
      </c>
      <c r="O113" s="231"/>
      <c r="P113" s="231"/>
      <c r="Q113" s="231"/>
      <c r="R113" s="231"/>
      <c r="S113" s="231"/>
      <c r="T113" s="231">
        <v>24</v>
      </c>
      <c r="U113" s="231"/>
      <c r="V113" s="231"/>
      <c r="W113" s="231">
        <f>9147-1000</f>
        <v>8147</v>
      </c>
    </row>
    <row r="114" spans="1:23" ht="17.25" customHeight="1">
      <c r="A114" s="168" t="s">
        <v>1619</v>
      </c>
      <c r="B114" s="226">
        <f>SUM(C114:W114)</f>
        <v>9818</v>
      </c>
      <c r="C114" s="231"/>
      <c r="D114" s="231"/>
      <c r="E114" s="231"/>
      <c r="F114" s="231"/>
      <c r="G114" s="231">
        <f>372-117</f>
        <v>255</v>
      </c>
      <c r="H114" s="231"/>
      <c r="I114" s="231"/>
      <c r="J114" s="231">
        <v>100</v>
      </c>
      <c r="K114" s="231">
        <v>905</v>
      </c>
      <c r="L114" s="231">
        <v>14</v>
      </c>
      <c r="M114" s="231">
        <f>1433-496</f>
        <v>937</v>
      </c>
      <c r="N114" s="231">
        <f>4020-400+1350-418</f>
        <v>4552</v>
      </c>
      <c r="O114" s="231"/>
      <c r="P114" s="231"/>
      <c r="Q114" s="231"/>
      <c r="R114" s="231"/>
      <c r="S114" s="231"/>
      <c r="T114" s="231">
        <v>2150</v>
      </c>
      <c r="U114" s="231"/>
      <c r="V114" s="231">
        <v>50</v>
      </c>
      <c r="W114" s="231">
        <v>855</v>
      </c>
    </row>
    <row r="115" spans="1:23">
      <c r="A115" s="161" t="s">
        <v>1620</v>
      </c>
      <c r="B115" s="226">
        <f>SUM(B116:B117)</f>
        <v>230474</v>
      </c>
      <c r="C115" s="226">
        <f>SUM(C116:C117)</f>
        <v>47</v>
      </c>
      <c r="D115" s="226">
        <f t="shared" ref="D115:W115" si="25">SUM(D116:D117)</f>
        <v>270</v>
      </c>
      <c r="E115" s="226">
        <f t="shared" si="25"/>
        <v>0</v>
      </c>
      <c r="F115" s="226">
        <f t="shared" si="25"/>
        <v>0</v>
      </c>
      <c r="G115" s="226">
        <f t="shared" si="25"/>
        <v>0</v>
      </c>
      <c r="H115" s="226">
        <f t="shared" si="25"/>
        <v>0</v>
      </c>
      <c r="I115" s="226">
        <f t="shared" si="25"/>
        <v>0</v>
      </c>
      <c r="J115" s="226">
        <f t="shared" si="25"/>
        <v>159</v>
      </c>
      <c r="K115" s="226">
        <f t="shared" si="25"/>
        <v>3056</v>
      </c>
      <c r="L115" s="226">
        <f t="shared" si="25"/>
        <v>17300</v>
      </c>
      <c r="M115" s="226">
        <f t="shared" si="25"/>
        <v>0</v>
      </c>
      <c r="N115" s="226">
        <f t="shared" si="25"/>
        <v>205033</v>
      </c>
      <c r="O115" s="226">
        <f t="shared" si="25"/>
        <v>0</v>
      </c>
      <c r="P115" s="226">
        <f t="shared" si="25"/>
        <v>0</v>
      </c>
      <c r="Q115" s="226">
        <f t="shared" si="25"/>
        <v>2119</v>
      </c>
      <c r="R115" s="226">
        <f t="shared" si="25"/>
        <v>0</v>
      </c>
      <c r="S115" s="226">
        <f t="shared" si="25"/>
        <v>1050</v>
      </c>
      <c r="T115" s="226">
        <f t="shared" si="25"/>
        <v>0</v>
      </c>
      <c r="U115" s="226">
        <f t="shared" si="25"/>
        <v>0</v>
      </c>
      <c r="V115" s="226">
        <f t="shared" si="25"/>
        <v>1440</v>
      </c>
      <c r="W115" s="226">
        <f t="shared" si="25"/>
        <v>0</v>
      </c>
    </row>
    <row r="116" spans="1:23">
      <c r="A116" s="167" t="s">
        <v>1685</v>
      </c>
      <c r="B116" s="226">
        <f>SUM(C116:W116)</f>
        <v>10394</v>
      </c>
      <c r="C116" s="226">
        <v>47</v>
      </c>
      <c r="D116" s="226">
        <v>270</v>
      </c>
      <c r="E116" s="226">
        <v>0</v>
      </c>
      <c r="F116" s="226">
        <v>0</v>
      </c>
      <c r="G116" s="226">
        <v>0</v>
      </c>
      <c r="H116" s="226">
        <v>0</v>
      </c>
      <c r="I116" s="226">
        <v>0</v>
      </c>
      <c r="J116" s="226">
        <v>19</v>
      </c>
      <c r="K116" s="226">
        <v>989</v>
      </c>
      <c r="L116" s="226">
        <v>0</v>
      </c>
      <c r="M116" s="226">
        <v>0</v>
      </c>
      <c r="N116" s="226">
        <v>5450</v>
      </c>
      <c r="O116" s="226">
        <v>0</v>
      </c>
      <c r="P116" s="226">
        <v>0</v>
      </c>
      <c r="Q116" s="226">
        <v>1129</v>
      </c>
      <c r="R116" s="226">
        <v>0</v>
      </c>
      <c r="S116" s="226">
        <v>1050</v>
      </c>
      <c r="T116" s="226">
        <v>0</v>
      </c>
      <c r="U116" s="226">
        <v>0</v>
      </c>
      <c r="V116" s="226">
        <v>1440</v>
      </c>
      <c r="W116" s="226">
        <v>0</v>
      </c>
    </row>
    <row r="117" spans="1:23">
      <c r="A117" s="167" t="s">
        <v>1194</v>
      </c>
      <c r="B117" s="226">
        <f>SUM(C117:W117)</f>
        <v>220080</v>
      </c>
      <c r="C117" s="226">
        <f t="shared" ref="C117:W117" si="26">SUM(C118:C129)</f>
        <v>0</v>
      </c>
      <c r="D117" s="226">
        <f t="shared" si="26"/>
        <v>0</v>
      </c>
      <c r="E117" s="226">
        <f t="shared" si="26"/>
        <v>0</v>
      </c>
      <c r="F117" s="226">
        <f t="shared" si="26"/>
        <v>0</v>
      </c>
      <c r="G117" s="226">
        <f t="shared" si="26"/>
        <v>0</v>
      </c>
      <c r="H117" s="226">
        <f t="shared" si="26"/>
        <v>0</v>
      </c>
      <c r="I117" s="226">
        <f t="shared" si="26"/>
        <v>0</v>
      </c>
      <c r="J117" s="226">
        <f t="shared" si="26"/>
        <v>140</v>
      </c>
      <c r="K117" s="226">
        <f t="shared" si="26"/>
        <v>2067</v>
      </c>
      <c r="L117" s="226">
        <f t="shared" si="26"/>
        <v>17300</v>
      </c>
      <c r="M117" s="226">
        <f t="shared" si="26"/>
        <v>0</v>
      </c>
      <c r="N117" s="226">
        <f t="shared" si="26"/>
        <v>199583</v>
      </c>
      <c r="O117" s="226">
        <f t="shared" si="26"/>
        <v>0</v>
      </c>
      <c r="P117" s="226">
        <f t="shared" si="26"/>
        <v>0</v>
      </c>
      <c r="Q117" s="226">
        <f t="shared" si="26"/>
        <v>990</v>
      </c>
      <c r="R117" s="226">
        <f t="shared" si="26"/>
        <v>0</v>
      </c>
      <c r="S117" s="226">
        <f t="shared" si="26"/>
        <v>0</v>
      </c>
      <c r="T117" s="226">
        <f t="shared" si="26"/>
        <v>0</v>
      </c>
      <c r="U117" s="226">
        <f t="shared" si="26"/>
        <v>0</v>
      </c>
      <c r="V117" s="226">
        <f t="shared" si="26"/>
        <v>0</v>
      </c>
      <c r="W117" s="226">
        <f t="shared" si="26"/>
        <v>0</v>
      </c>
    </row>
    <row r="118" spans="1:23">
      <c r="A118" s="167" t="s">
        <v>1621</v>
      </c>
      <c r="B118" s="226">
        <f t="shared" ref="B118:B129" si="27">SUM(C118:W118)</f>
        <v>25759</v>
      </c>
      <c r="C118" s="226"/>
      <c r="D118" s="226"/>
      <c r="E118" s="226"/>
      <c r="F118" s="226"/>
      <c r="G118" s="226"/>
      <c r="H118" s="226"/>
      <c r="I118" s="226"/>
      <c r="J118" s="226">
        <v>8</v>
      </c>
      <c r="K118" s="226">
        <v>303</v>
      </c>
      <c r="L118" s="226">
        <v>1000</v>
      </c>
      <c r="M118" s="226"/>
      <c r="N118" s="226">
        <v>24048</v>
      </c>
      <c r="O118" s="226"/>
      <c r="P118" s="226"/>
      <c r="Q118" s="226">
        <v>400</v>
      </c>
      <c r="R118" s="226"/>
      <c r="S118" s="226"/>
      <c r="T118" s="226"/>
      <c r="U118" s="226"/>
      <c r="V118" s="226"/>
      <c r="W118" s="226"/>
    </row>
    <row r="119" spans="1:23">
      <c r="A119" s="168" t="s">
        <v>1622</v>
      </c>
      <c r="B119" s="226">
        <f>SUM(C119:W119)</f>
        <v>17656</v>
      </c>
      <c r="C119" s="226"/>
      <c r="D119" s="226"/>
      <c r="E119" s="226"/>
      <c r="F119" s="226"/>
      <c r="G119" s="226"/>
      <c r="H119" s="226"/>
      <c r="I119" s="226"/>
      <c r="J119" s="226">
        <v>5</v>
      </c>
      <c r="K119" s="226">
        <v>138</v>
      </c>
      <c r="L119" s="226"/>
      <c r="M119" s="226"/>
      <c r="N119" s="226">
        <v>17413</v>
      </c>
      <c r="O119" s="226"/>
      <c r="P119" s="226"/>
      <c r="Q119" s="226">
        <v>100</v>
      </c>
      <c r="R119" s="226"/>
      <c r="S119" s="226"/>
      <c r="T119" s="226"/>
      <c r="U119" s="226"/>
      <c r="V119" s="226"/>
      <c r="W119" s="226"/>
    </row>
    <row r="120" spans="1:23">
      <c r="A120" s="167" t="s">
        <v>1623</v>
      </c>
      <c r="B120" s="226">
        <f>SUM(C120:W120)</f>
        <v>15980</v>
      </c>
      <c r="C120" s="226"/>
      <c r="D120" s="226"/>
      <c r="E120" s="226"/>
      <c r="F120" s="226"/>
      <c r="G120" s="226"/>
      <c r="H120" s="226"/>
      <c r="I120" s="226"/>
      <c r="J120" s="226">
        <v>5</v>
      </c>
      <c r="K120" s="226">
        <v>137</v>
      </c>
      <c r="L120" s="226"/>
      <c r="M120" s="226"/>
      <c r="N120" s="226">
        <v>15808</v>
      </c>
      <c r="O120" s="226"/>
      <c r="P120" s="226"/>
      <c r="Q120" s="226">
        <v>30</v>
      </c>
      <c r="R120" s="226"/>
      <c r="S120" s="226"/>
      <c r="T120" s="226"/>
      <c r="U120" s="226"/>
      <c r="V120" s="226"/>
      <c r="W120" s="226"/>
    </row>
    <row r="121" spans="1:23">
      <c r="A121" s="168" t="s">
        <v>1624</v>
      </c>
      <c r="B121" s="226">
        <f>SUM(C121:W121)</f>
        <v>16607</v>
      </c>
      <c r="C121" s="226"/>
      <c r="D121" s="226"/>
      <c r="E121" s="226"/>
      <c r="F121" s="226"/>
      <c r="G121" s="226"/>
      <c r="H121" s="226"/>
      <c r="I121" s="226"/>
      <c r="J121" s="226">
        <v>5</v>
      </c>
      <c r="K121" s="226">
        <v>146</v>
      </c>
      <c r="L121" s="226"/>
      <c r="M121" s="226"/>
      <c r="N121" s="226">
        <v>16296</v>
      </c>
      <c r="O121" s="226"/>
      <c r="P121" s="226"/>
      <c r="Q121" s="226">
        <v>160</v>
      </c>
      <c r="R121" s="226"/>
      <c r="S121" s="226"/>
      <c r="T121" s="226"/>
      <c r="U121" s="226"/>
      <c r="V121" s="226"/>
      <c r="W121" s="226"/>
    </row>
    <row r="122" spans="1:23">
      <c r="A122" s="168" t="s">
        <v>1625</v>
      </c>
      <c r="B122" s="226">
        <f>SUM(C122:W122)</f>
        <v>7686</v>
      </c>
      <c r="C122" s="226"/>
      <c r="D122" s="226"/>
      <c r="E122" s="226"/>
      <c r="F122" s="226"/>
      <c r="G122" s="226"/>
      <c r="H122" s="226"/>
      <c r="I122" s="226"/>
      <c r="J122" s="226">
        <v>4</v>
      </c>
      <c r="K122" s="226">
        <v>91</v>
      </c>
      <c r="L122" s="226"/>
      <c r="M122" s="226"/>
      <c r="N122" s="226">
        <v>7576</v>
      </c>
      <c r="O122" s="226"/>
      <c r="P122" s="226"/>
      <c r="Q122" s="226">
        <v>15</v>
      </c>
      <c r="R122" s="226"/>
      <c r="S122" s="226"/>
      <c r="T122" s="226"/>
      <c r="U122" s="226"/>
      <c r="V122" s="226"/>
      <c r="W122" s="226"/>
    </row>
    <row r="123" spans="1:23">
      <c r="A123" s="167" t="s">
        <v>1626</v>
      </c>
      <c r="B123" s="226">
        <f t="shared" si="27"/>
        <v>52771</v>
      </c>
      <c r="C123" s="226"/>
      <c r="D123" s="226"/>
      <c r="E123" s="226"/>
      <c r="F123" s="226"/>
      <c r="G123" s="226"/>
      <c r="H123" s="226"/>
      <c r="I123" s="226"/>
      <c r="J123" s="226">
        <v>8</v>
      </c>
      <c r="K123" s="226">
        <v>289</v>
      </c>
      <c r="L123" s="226">
        <v>16300</v>
      </c>
      <c r="M123" s="226"/>
      <c r="N123" s="226">
        <v>36089</v>
      </c>
      <c r="O123" s="226"/>
      <c r="P123" s="226"/>
      <c r="Q123" s="226">
        <v>85</v>
      </c>
      <c r="R123" s="226"/>
      <c r="S123" s="226"/>
      <c r="T123" s="226"/>
      <c r="U123" s="226"/>
      <c r="V123" s="226"/>
      <c r="W123" s="226"/>
    </row>
    <row r="124" spans="1:23">
      <c r="A124" s="167" t="s">
        <v>1627</v>
      </c>
      <c r="B124" s="226">
        <f t="shared" si="27"/>
        <v>20388</v>
      </c>
      <c r="C124" s="226"/>
      <c r="D124" s="226"/>
      <c r="E124" s="226"/>
      <c r="F124" s="226"/>
      <c r="G124" s="226"/>
      <c r="H124" s="226"/>
      <c r="I124" s="226"/>
      <c r="J124" s="226">
        <v>8</v>
      </c>
      <c r="K124" s="226">
        <v>175</v>
      </c>
      <c r="L124" s="226"/>
      <c r="M124" s="226"/>
      <c r="N124" s="226">
        <v>20140</v>
      </c>
      <c r="O124" s="226"/>
      <c r="P124" s="226"/>
      <c r="Q124" s="226">
        <v>65</v>
      </c>
      <c r="R124" s="226"/>
      <c r="S124" s="226"/>
      <c r="T124" s="226"/>
      <c r="U124" s="226"/>
      <c r="V124" s="226"/>
      <c r="W124" s="226"/>
    </row>
    <row r="125" spans="1:23">
      <c r="A125" s="168" t="s">
        <v>1628</v>
      </c>
      <c r="B125" s="226">
        <f>SUM(C125:W125)</f>
        <v>9351</v>
      </c>
      <c r="C125" s="226"/>
      <c r="D125" s="226"/>
      <c r="E125" s="226"/>
      <c r="F125" s="226"/>
      <c r="G125" s="226"/>
      <c r="H125" s="226"/>
      <c r="I125" s="226"/>
      <c r="J125" s="226">
        <v>7</v>
      </c>
      <c r="K125" s="226">
        <v>106</v>
      </c>
      <c r="L125" s="226"/>
      <c r="M125" s="226"/>
      <c r="N125" s="226">
        <v>9223</v>
      </c>
      <c r="O125" s="226"/>
      <c r="P125" s="226"/>
      <c r="Q125" s="226">
        <v>15</v>
      </c>
      <c r="R125" s="226"/>
      <c r="S125" s="226"/>
      <c r="T125" s="226"/>
      <c r="U125" s="226"/>
      <c r="V125" s="226"/>
      <c r="W125" s="226"/>
    </row>
    <row r="126" spans="1:23">
      <c r="A126" s="168" t="s">
        <v>1629</v>
      </c>
      <c r="B126" s="226">
        <f>SUM(C126:W126)</f>
        <v>11456</v>
      </c>
      <c r="C126" s="226"/>
      <c r="D126" s="226"/>
      <c r="E126" s="226"/>
      <c r="F126" s="226"/>
      <c r="G126" s="226"/>
      <c r="H126" s="226"/>
      <c r="I126" s="226"/>
      <c r="J126" s="226">
        <v>3</v>
      </c>
      <c r="K126" s="226">
        <v>77</v>
      </c>
      <c r="L126" s="226"/>
      <c r="M126" s="226"/>
      <c r="N126" s="226">
        <v>11341</v>
      </c>
      <c r="O126" s="226"/>
      <c r="P126" s="226"/>
      <c r="Q126" s="226">
        <v>35</v>
      </c>
      <c r="R126" s="226"/>
      <c r="S126" s="226"/>
      <c r="T126" s="226"/>
      <c r="U126" s="226"/>
      <c r="V126" s="226"/>
      <c r="W126" s="226"/>
    </row>
    <row r="127" spans="1:23">
      <c r="A127" s="168" t="s">
        <v>1630</v>
      </c>
      <c r="B127" s="226">
        <f t="shared" si="27"/>
        <v>15684</v>
      </c>
      <c r="C127" s="226"/>
      <c r="D127" s="226"/>
      <c r="E127" s="226"/>
      <c r="F127" s="226"/>
      <c r="G127" s="226"/>
      <c r="H127" s="226"/>
      <c r="I127" s="226"/>
      <c r="J127" s="226">
        <v>8</v>
      </c>
      <c r="K127" s="226">
        <v>177</v>
      </c>
      <c r="L127" s="226"/>
      <c r="M127" s="226"/>
      <c r="N127" s="226">
        <v>15449</v>
      </c>
      <c r="O127" s="226"/>
      <c r="P127" s="226"/>
      <c r="Q127" s="226">
        <v>50</v>
      </c>
      <c r="R127" s="226"/>
      <c r="S127" s="226"/>
      <c r="T127" s="226"/>
      <c r="U127" s="226"/>
      <c r="V127" s="226"/>
      <c r="W127" s="226"/>
    </row>
    <row r="128" spans="1:23">
      <c r="A128" s="168" t="s">
        <v>1631</v>
      </c>
      <c r="B128" s="226">
        <f t="shared" si="27"/>
        <v>22216</v>
      </c>
      <c r="C128" s="226"/>
      <c r="D128" s="226"/>
      <c r="E128" s="226"/>
      <c r="F128" s="226"/>
      <c r="G128" s="226"/>
      <c r="H128" s="226"/>
      <c r="I128" s="226"/>
      <c r="J128" s="226">
        <v>6</v>
      </c>
      <c r="K128" s="226">
        <v>181</v>
      </c>
      <c r="L128" s="226"/>
      <c r="M128" s="226"/>
      <c r="N128" s="226">
        <v>21994</v>
      </c>
      <c r="O128" s="226"/>
      <c r="P128" s="226"/>
      <c r="Q128" s="226">
        <v>35</v>
      </c>
      <c r="R128" s="226"/>
      <c r="S128" s="226"/>
      <c r="T128" s="226"/>
      <c r="U128" s="226"/>
      <c r="V128" s="226"/>
      <c r="W128" s="226"/>
    </row>
    <row r="129" spans="1:23">
      <c r="A129" s="168" t="s">
        <v>1632</v>
      </c>
      <c r="B129" s="226">
        <f t="shared" si="27"/>
        <v>4526</v>
      </c>
      <c r="C129" s="226"/>
      <c r="D129" s="226"/>
      <c r="E129" s="226"/>
      <c r="F129" s="226"/>
      <c r="G129" s="226"/>
      <c r="H129" s="226"/>
      <c r="I129" s="226"/>
      <c r="J129" s="226">
        <v>73</v>
      </c>
      <c r="K129" s="226">
        <v>247</v>
      </c>
      <c r="L129" s="226"/>
      <c r="M129" s="226"/>
      <c r="N129" s="226">
        <v>4206</v>
      </c>
      <c r="O129" s="226"/>
      <c r="P129" s="226"/>
      <c r="Q129" s="226"/>
      <c r="R129" s="226"/>
      <c r="S129" s="226"/>
      <c r="T129" s="226"/>
      <c r="U129" s="226"/>
      <c r="V129" s="226"/>
      <c r="W129" s="226"/>
    </row>
    <row r="130" spans="1:23" ht="17.25" customHeight="1">
      <c r="A130" s="162" t="s">
        <v>1686</v>
      </c>
      <c r="B130" s="225">
        <v>179440</v>
      </c>
      <c r="C130" s="225">
        <v>44</v>
      </c>
      <c r="D130" s="225">
        <v>0</v>
      </c>
      <c r="E130" s="225">
        <v>0</v>
      </c>
      <c r="F130" s="225">
        <v>0</v>
      </c>
      <c r="G130" s="225">
        <v>0</v>
      </c>
      <c r="H130" s="225">
        <v>0</v>
      </c>
      <c r="I130" s="225">
        <v>0</v>
      </c>
      <c r="J130" s="225">
        <v>62</v>
      </c>
      <c r="K130" s="225">
        <v>1492</v>
      </c>
      <c r="L130" s="225">
        <v>1600</v>
      </c>
      <c r="M130" s="225">
        <v>0</v>
      </c>
      <c r="N130" s="225">
        <v>174201</v>
      </c>
      <c r="O130" s="225">
        <v>0</v>
      </c>
      <c r="P130" s="225">
        <v>278</v>
      </c>
      <c r="Q130" s="225">
        <v>73</v>
      </c>
      <c r="R130" s="225">
        <v>0</v>
      </c>
      <c r="S130" s="225">
        <v>200</v>
      </c>
      <c r="T130" s="225">
        <v>0</v>
      </c>
      <c r="U130" s="225">
        <v>0</v>
      </c>
      <c r="V130" s="225">
        <v>1490</v>
      </c>
      <c r="W130" s="225">
        <v>0</v>
      </c>
    </row>
    <row r="131" spans="1:23" ht="17.25" customHeight="1">
      <c r="A131" s="168" t="s">
        <v>1685</v>
      </c>
      <c r="B131" s="225">
        <v>1947</v>
      </c>
      <c r="C131" s="223">
        <v>44</v>
      </c>
      <c r="D131" s="223"/>
      <c r="E131" s="223"/>
      <c r="F131" s="223"/>
      <c r="G131" s="223"/>
      <c r="H131" s="223"/>
      <c r="I131" s="223"/>
      <c r="J131" s="223">
        <v>62</v>
      </c>
      <c r="K131" s="223"/>
      <c r="L131" s="223"/>
      <c r="M131" s="223"/>
      <c r="N131" s="223"/>
      <c r="O131" s="223"/>
      <c r="P131" s="223">
        <v>278</v>
      </c>
      <c r="Q131" s="223">
        <v>73</v>
      </c>
      <c r="R131" s="223"/>
      <c r="S131" s="223"/>
      <c r="T131" s="223"/>
      <c r="U131" s="223"/>
      <c r="V131" s="223">
        <v>1490</v>
      </c>
      <c r="W131" s="223"/>
    </row>
    <row r="132" spans="1:23" ht="17.25" customHeight="1">
      <c r="A132" s="168" t="s">
        <v>1194</v>
      </c>
      <c r="B132" s="225">
        <v>177493</v>
      </c>
      <c r="C132" s="223">
        <v>0</v>
      </c>
      <c r="D132" s="223">
        <v>0</v>
      </c>
      <c r="E132" s="223">
        <v>0</v>
      </c>
      <c r="F132" s="223">
        <v>0</v>
      </c>
      <c r="G132" s="223">
        <v>0</v>
      </c>
      <c r="H132" s="223">
        <v>0</v>
      </c>
      <c r="I132" s="223">
        <v>0</v>
      </c>
      <c r="J132" s="223">
        <v>0</v>
      </c>
      <c r="K132" s="223">
        <v>1492</v>
      </c>
      <c r="L132" s="223">
        <v>1600</v>
      </c>
      <c r="M132" s="223">
        <v>0</v>
      </c>
      <c r="N132" s="223">
        <v>174201</v>
      </c>
      <c r="O132" s="223">
        <v>0</v>
      </c>
      <c r="P132" s="223">
        <v>0</v>
      </c>
      <c r="Q132" s="223">
        <v>0</v>
      </c>
      <c r="R132" s="223">
        <v>0</v>
      </c>
      <c r="S132" s="223">
        <v>200</v>
      </c>
      <c r="T132" s="223">
        <v>0</v>
      </c>
      <c r="U132" s="223">
        <v>0</v>
      </c>
      <c r="V132" s="223">
        <v>0</v>
      </c>
      <c r="W132" s="223">
        <v>0</v>
      </c>
    </row>
    <row r="133" spans="1:23" ht="17.25" customHeight="1">
      <c r="A133" s="167" t="s">
        <v>1633</v>
      </c>
      <c r="B133" s="225">
        <v>4899</v>
      </c>
      <c r="C133" s="223"/>
      <c r="D133" s="223"/>
      <c r="E133" s="223"/>
      <c r="F133" s="223"/>
      <c r="G133" s="223"/>
      <c r="H133" s="223"/>
      <c r="I133" s="223"/>
      <c r="J133" s="223"/>
      <c r="K133" s="223">
        <v>284</v>
      </c>
      <c r="L133" s="223">
        <v>1600</v>
      </c>
      <c r="M133" s="223"/>
      <c r="N133" s="223">
        <v>3015</v>
      </c>
      <c r="O133" s="223"/>
      <c r="P133" s="223"/>
      <c r="Q133" s="223"/>
      <c r="R133" s="223"/>
      <c r="S133" s="223"/>
      <c r="T133" s="223"/>
      <c r="U133" s="223"/>
      <c r="V133" s="223"/>
      <c r="W133" s="223"/>
    </row>
    <row r="134" spans="1:23" ht="17.25" customHeight="1">
      <c r="A134" s="167" t="s">
        <v>1634</v>
      </c>
      <c r="B134" s="225">
        <v>27360</v>
      </c>
      <c r="C134" s="223"/>
      <c r="D134" s="223"/>
      <c r="E134" s="223"/>
      <c r="F134" s="223"/>
      <c r="G134" s="223"/>
      <c r="H134" s="223"/>
      <c r="I134" s="223"/>
      <c r="J134" s="223"/>
      <c r="K134" s="223">
        <v>165</v>
      </c>
      <c r="L134" s="223"/>
      <c r="M134" s="223"/>
      <c r="N134" s="223">
        <v>27195</v>
      </c>
      <c r="O134" s="223"/>
      <c r="P134" s="223"/>
      <c r="Q134" s="223"/>
      <c r="R134" s="223"/>
      <c r="S134" s="223"/>
      <c r="T134" s="223"/>
      <c r="U134" s="223"/>
      <c r="V134" s="223"/>
      <c r="W134" s="223"/>
    </row>
    <row r="135" spans="1:23" ht="17.25" customHeight="1">
      <c r="A135" s="167" t="s">
        <v>1635</v>
      </c>
      <c r="B135" s="225">
        <v>46795</v>
      </c>
      <c r="C135" s="223"/>
      <c r="D135" s="223"/>
      <c r="E135" s="223"/>
      <c r="F135" s="223"/>
      <c r="G135" s="223"/>
      <c r="H135" s="223"/>
      <c r="I135" s="223"/>
      <c r="J135" s="223"/>
      <c r="K135" s="223">
        <v>346</v>
      </c>
      <c r="L135" s="223"/>
      <c r="M135" s="223"/>
      <c r="N135" s="223">
        <v>46449</v>
      </c>
      <c r="O135" s="223"/>
      <c r="P135" s="223"/>
      <c r="Q135" s="223"/>
      <c r="R135" s="223"/>
      <c r="S135" s="223"/>
      <c r="T135" s="223"/>
      <c r="U135" s="223"/>
      <c r="V135" s="223"/>
      <c r="W135" s="223"/>
    </row>
    <row r="136" spans="1:23" ht="17.25" customHeight="1">
      <c r="A136" s="167" t="s">
        <v>1636</v>
      </c>
      <c r="B136" s="225">
        <v>25896</v>
      </c>
      <c r="C136" s="223"/>
      <c r="D136" s="223"/>
      <c r="E136" s="223"/>
      <c r="F136" s="223"/>
      <c r="G136" s="223"/>
      <c r="H136" s="223"/>
      <c r="I136" s="223"/>
      <c r="J136" s="223"/>
      <c r="K136" s="223">
        <v>178</v>
      </c>
      <c r="L136" s="223"/>
      <c r="M136" s="223"/>
      <c r="N136" s="223">
        <v>25518</v>
      </c>
      <c r="O136" s="223"/>
      <c r="P136" s="223"/>
      <c r="Q136" s="223"/>
      <c r="R136" s="223"/>
      <c r="S136" s="223">
        <v>200</v>
      </c>
      <c r="T136" s="223"/>
      <c r="U136" s="223"/>
      <c r="V136" s="223"/>
      <c r="W136" s="223"/>
    </row>
    <row r="137" spans="1:23" ht="17.25" customHeight="1">
      <c r="A137" s="167" t="s">
        <v>1637</v>
      </c>
      <c r="B137" s="225">
        <v>22816</v>
      </c>
      <c r="C137" s="223"/>
      <c r="D137" s="223"/>
      <c r="E137" s="223"/>
      <c r="F137" s="223"/>
      <c r="G137" s="223"/>
      <c r="H137" s="223"/>
      <c r="I137" s="223"/>
      <c r="J137" s="223"/>
      <c r="K137" s="223">
        <v>202</v>
      </c>
      <c r="L137" s="223"/>
      <c r="M137" s="223"/>
      <c r="N137" s="223">
        <v>22614</v>
      </c>
      <c r="O137" s="223"/>
      <c r="P137" s="223"/>
      <c r="Q137" s="223"/>
      <c r="R137" s="223"/>
      <c r="S137" s="223"/>
      <c r="T137" s="223"/>
      <c r="U137" s="223"/>
      <c r="V137" s="223"/>
      <c r="W137" s="223"/>
    </row>
    <row r="138" spans="1:23" ht="17.25" customHeight="1">
      <c r="A138" s="167" t="s">
        <v>1638</v>
      </c>
      <c r="B138" s="225">
        <v>22913</v>
      </c>
      <c r="C138" s="223"/>
      <c r="D138" s="223"/>
      <c r="E138" s="223"/>
      <c r="F138" s="223"/>
      <c r="G138" s="223"/>
      <c r="H138" s="223"/>
      <c r="I138" s="223"/>
      <c r="J138" s="223"/>
      <c r="K138" s="223">
        <v>121</v>
      </c>
      <c r="L138" s="223"/>
      <c r="M138" s="223"/>
      <c r="N138" s="223">
        <v>22792</v>
      </c>
      <c r="O138" s="223"/>
      <c r="P138" s="223"/>
      <c r="Q138" s="223"/>
      <c r="R138" s="223"/>
      <c r="S138" s="223"/>
      <c r="T138" s="223"/>
      <c r="U138" s="223"/>
      <c r="V138" s="223"/>
      <c r="W138" s="223"/>
    </row>
    <row r="139" spans="1:23" ht="17.25" customHeight="1">
      <c r="A139" s="167" t="s">
        <v>1639</v>
      </c>
      <c r="B139" s="225">
        <v>23526</v>
      </c>
      <c r="C139" s="223"/>
      <c r="D139" s="223"/>
      <c r="E139" s="223"/>
      <c r="F139" s="223"/>
      <c r="G139" s="223"/>
      <c r="H139" s="223"/>
      <c r="I139" s="223"/>
      <c r="J139" s="223"/>
      <c r="K139" s="223">
        <v>163</v>
      </c>
      <c r="L139" s="223"/>
      <c r="M139" s="223"/>
      <c r="N139" s="223">
        <v>23363</v>
      </c>
      <c r="O139" s="223"/>
      <c r="P139" s="223"/>
      <c r="Q139" s="223"/>
      <c r="R139" s="223"/>
      <c r="S139" s="223"/>
      <c r="T139" s="223"/>
      <c r="U139" s="223"/>
      <c r="V139" s="223"/>
      <c r="W139" s="223"/>
    </row>
    <row r="140" spans="1:23" ht="17.25" customHeight="1">
      <c r="A140" s="167" t="s">
        <v>1640</v>
      </c>
      <c r="B140" s="225">
        <v>3288</v>
      </c>
      <c r="C140" s="223"/>
      <c r="D140" s="223"/>
      <c r="E140" s="223"/>
      <c r="F140" s="223"/>
      <c r="G140" s="223"/>
      <c r="H140" s="223"/>
      <c r="I140" s="223"/>
      <c r="J140" s="223"/>
      <c r="K140" s="223">
        <v>33</v>
      </c>
      <c r="L140" s="223"/>
      <c r="M140" s="223"/>
      <c r="N140" s="223">
        <v>3255</v>
      </c>
      <c r="O140" s="223"/>
      <c r="P140" s="223">
        <v>0</v>
      </c>
      <c r="Q140" s="223"/>
      <c r="R140" s="223"/>
      <c r="S140" s="223"/>
      <c r="T140" s="223"/>
      <c r="U140" s="223"/>
      <c r="V140" s="223"/>
      <c r="W140" s="223"/>
    </row>
    <row r="141" spans="1:23" s="132" customFormat="1" ht="12">
      <c r="A141" s="161" t="s">
        <v>1687</v>
      </c>
      <c r="B141" s="226">
        <f>SUM(B142:B143)</f>
        <v>3484</v>
      </c>
      <c r="C141" s="226">
        <f t="shared" ref="C141:W141" si="28">SUM(C142:C143)</f>
        <v>18</v>
      </c>
      <c r="D141" s="226">
        <f t="shared" si="28"/>
        <v>0</v>
      </c>
      <c r="E141" s="226">
        <f t="shared" si="28"/>
        <v>0</v>
      </c>
      <c r="F141" s="226">
        <f t="shared" si="28"/>
        <v>0</v>
      </c>
      <c r="G141" s="226">
        <f t="shared" si="28"/>
        <v>0</v>
      </c>
      <c r="H141" s="226">
        <f t="shared" si="28"/>
        <v>0</v>
      </c>
      <c r="I141" s="226">
        <f t="shared" si="28"/>
        <v>0</v>
      </c>
      <c r="J141" s="226">
        <f t="shared" si="28"/>
        <v>27</v>
      </c>
      <c r="K141" s="226">
        <f t="shared" si="28"/>
        <v>1083</v>
      </c>
      <c r="L141" s="226">
        <f t="shared" si="28"/>
        <v>0</v>
      </c>
      <c r="M141" s="226">
        <f t="shared" si="28"/>
        <v>0</v>
      </c>
      <c r="N141" s="226">
        <f t="shared" si="28"/>
        <v>956</v>
      </c>
      <c r="O141" s="226">
        <f t="shared" si="28"/>
        <v>0</v>
      </c>
      <c r="P141" s="226">
        <f t="shared" si="28"/>
        <v>220</v>
      </c>
      <c r="Q141" s="226">
        <f t="shared" si="28"/>
        <v>60</v>
      </c>
      <c r="R141" s="226">
        <f t="shared" si="28"/>
        <v>0</v>
      </c>
      <c r="S141" s="226">
        <f t="shared" si="28"/>
        <v>840</v>
      </c>
      <c r="T141" s="226">
        <f t="shared" si="28"/>
        <v>0</v>
      </c>
      <c r="U141" s="226">
        <f t="shared" si="28"/>
        <v>0</v>
      </c>
      <c r="V141" s="226">
        <f t="shared" si="28"/>
        <v>280</v>
      </c>
      <c r="W141" s="226">
        <f t="shared" si="28"/>
        <v>0</v>
      </c>
    </row>
    <row r="142" spans="1:23" s="132" customFormat="1" ht="12">
      <c r="A142" s="167" t="s">
        <v>1193</v>
      </c>
      <c r="B142" s="225">
        <f>SUM(C142:W142)</f>
        <v>2127</v>
      </c>
      <c r="C142" s="225">
        <v>18</v>
      </c>
      <c r="D142" s="225"/>
      <c r="E142" s="225"/>
      <c r="F142" s="225"/>
      <c r="G142" s="225"/>
      <c r="H142" s="225"/>
      <c r="I142" s="225"/>
      <c r="J142" s="225">
        <v>27</v>
      </c>
      <c r="K142" s="225">
        <v>674</v>
      </c>
      <c r="L142" s="225"/>
      <c r="M142" s="225"/>
      <c r="N142" s="225">
        <v>8</v>
      </c>
      <c r="O142" s="225"/>
      <c r="P142" s="225">
        <v>220</v>
      </c>
      <c r="Q142" s="225">
        <v>60</v>
      </c>
      <c r="R142" s="225"/>
      <c r="S142" s="225">
        <v>840</v>
      </c>
      <c r="T142" s="225"/>
      <c r="U142" s="225"/>
      <c r="V142" s="225">
        <v>280</v>
      </c>
      <c r="W142" s="225"/>
    </row>
    <row r="143" spans="1:23" s="132" customFormat="1" ht="12">
      <c r="A143" s="167" t="s">
        <v>1194</v>
      </c>
      <c r="B143" s="225">
        <f t="shared" ref="B143:W143" si="29">SUM(B144:B146)</f>
        <v>1357</v>
      </c>
      <c r="C143" s="225">
        <f t="shared" si="29"/>
        <v>0</v>
      </c>
      <c r="D143" s="225">
        <f t="shared" si="29"/>
        <v>0</v>
      </c>
      <c r="E143" s="225">
        <f t="shared" si="29"/>
        <v>0</v>
      </c>
      <c r="F143" s="225">
        <f t="shared" si="29"/>
        <v>0</v>
      </c>
      <c r="G143" s="225">
        <f t="shared" si="29"/>
        <v>0</v>
      </c>
      <c r="H143" s="225">
        <f t="shared" si="29"/>
        <v>0</v>
      </c>
      <c r="I143" s="225">
        <f t="shared" si="29"/>
        <v>0</v>
      </c>
      <c r="J143" s="225">
        <f t="shared" si="29"/>
        <v>0</v>
      </c>
      <c r="K143" s="225">
        <f t="shared" si="29"/>
        <v>409</v>
      </c>
      <c r="L143" s="225">
        <f t="shared" si="29"/>
        <v>0</v>
      </c>
      <c r="M143" s="225">
        <f t="shared" si="29"/>
        <v>0</v>
      </c>
      <c r="N143" s="225">
        <f t="shared" si="29"/>
        <v>948</v>
      </c>
      <c r="O143" s="225">
        <f t="shared" si="29"/>
        <v>0</v>
      </c>
      <c r="P143" s="225">
        <f t="shared" si="29"/>
        <v>0</v>
      </c>
      <c r="Q143" s="225">
        <f t="shared" si="29"/>
        <v>0</v>
      </c>
      <c r="R143" s="225">
        <f t="shared" si="29"/>
        <v>0</v>
      </c>
      <c r="S143" s="225">
        <f t="shared" si="29"/>
        <v>0</v>
      </c>
      <c r="T143" s="225">
        <f t="shared" si="29"/>
        <v>0</v>
      </c>
      <c r="U143" s="225">
        <f t="shared" si="29"/>
        <v>0</v>
      </c>
      <c r="V143" s="225">
        <f t="shared" si="29"/>
        <v>0</v>
      </c>
      <c r="W143" s="225">
        <f t="shared" si="29"/>
        <v>0</v>
      </c>
    </row>
    <row r="144" spans="1:23" s="132" customFormat="1" ht="12">
      <c r="A144" s="167" t="s">
        <v>1641</v>
      </c>
      <c r="B144" s="225">
        <f>SUM(C144:W144)</f>
        <v>478</v>
      </c>
      <c r="C144" s="225">
        <v>0</v>
      </c>
      <c r="D144" s="225">
        <v>0</v>
      </c>
      <c r="E144" s="225">
        <v>0</v>
      </c>
      <c r="F144" s="225">
        <v>0</v>
      </c>
      <c r="G144" s="225">
        <v>0</v>
      </c>
      <c r="H144" s="225">
        <v>0</v>
      </c>
      <c r="I144" s="225">
        <v>0</v>
      </c>
      <c r="J144" s="225">
        <v>0</v>
      </c>
      <c r="K144" s="225">
        <v>148</v>
      </c>
      <c r="L144" s="225">
        <v>0</v>
      </c>
      <c r="M144" s="225">
        <v>0</v>
      </c>
      <c r="N144" s="225">
        <v>330</v>
      </c>
      <c r="O144" s="225">
        <v>0</v>
      </c>
      <c r="P144" s="225">
        <v>0</v>
      </c>
      <c r="Q144" s="225">
        <v>0</v>
      </c>
      <c r="R144" s="225">
        <v>0</v>
      </c>
      <c r="S144" s="225">
        <v>0</v>
      </c>
      <c r="T144" s="225">
        <v>0</v>
      </c>
      <c r="U144" s="225">
        <v>0</v>
      </c>
      <c r="V144" s="225">
        <v>0</v>
      </c>
      <c r="W144" s="225">
        <v>0</v>
      </c>
    </row>
    <row r="145" spans="1:23" s="132" customFormat="1" ht="12">
      <c r="A145" s="167" t="s">
        <v>1642</v>
      </c>
      <c r="B145" s="225">
        <f>SUM(C145:W145)</f>
        <v>463</v>
      </c>
      <c r="C145" s="225"/>
      <c r="D145" s="225"/>
      <c r="E145" s="225"/>
      <c r="F145" s="225"/>
      <c r="G145" s="225"/>
      <c r="H145" s="225"/>
      <c r="I145" s="225"/>
      <c r="J145" s="225"/>
      <c r="K145" s="225">
        <v>175</v>
      </c>
      <c r="L145" s="225"/>
      <c r="M145" s="225"/>
      <c r="N145" s="225">
        <v>288</v>
      </c>
      <c r="O145" s="225"/>
      <c r="P145" s="225"/>
      <c r="Q145" s="225"/>
      <c r="R145" s="225"/>
      <c r="S145" s="225"/>
      <c r="T145" s="225"/>
      <c r="U145" s="225"/>
      <c r="V145" s="225"/>
      <c r="W145" s="225"/>
    </row>
    <row r="146" spans="1:23" s="132" customFormat="1" ht="12">
      <c r="A146" s="167" t="s">
        <v>1643</v>
      </c>
      <c r="B146" s="225">
        <f>SUM(C146:W146)</f>
        <v>416</v>
      </c>
      <c r="C146" s="225"/>
      <c r="D146" s="225"/>
      <c r="E146" s="225"/>
      <c r="F146" s="225"/>
      <c r="G146" s="225"/>
      <c r="H146" s="225"/>
      <c r="I146" s="225"/>
      <c r="J146" s="225"/>
      <c r="K146" s="225">
        <v>86</v>
      </c>
      <c r="L146" s="225"/>
      <c r="M146" s="225"/>
      <c r="N146" s="225">
        <v>330</v>
      </c>
      <c r="O146" s="225"/>
      <c r="P146" s="225"/>
      <c r="Q146" s="225"/>
      <c r="R146" s="225"/>
      <c r="S146" s="225"/>
      <c r="T146" s="225"/>
      <c r="U146" s="225"/>
      <c r="V146" s="225"/>
      <c r="W146" s="225"/>
    </row>
    <row r="147" spans="1:23">
      <c r="A147" s="164" t="s">
        <v>1688</v>
      </c>
      <c r="B147" s="225">
        <f>B148+B149</f>
        <v>241629</v>
      </c>
      <c r="C147" s="225">
        <f t="shared" ref="C147:W147" si="30">C148+C149</f>
        <v>6565</v>
      </c>
      <c r="D147" s="225">
        <f t="shared" si="30"/>
        <v>0</v>
      </c>
      <c r="E147" s="225">
        <f t="shared" si="30"/>
        <v>1411</v>
      </c>
      <c r="F147" s="225">
        <f t="shared" si="30"/>
        <v>6975</v>
      </c>
      <c r="G147" s="225">
        <f t="shared" si="30"/>
        <v>16838</v>
      </c>
      <c r="H147" s="225">
        <f t="shared" si="30"/>
        <v>70</v>
      </c>
      <c r="I147" s="225">
        <f t="shared" si="30"/>
        <v>4661</v>
      </c>
      <c r="J147" s="225">
        <f t="shared" si="30"/>
        <v>23494</v>
      </c>
      <c r="K147" s="225">
        <f t="shared" si="30"/>
        <v>13494</v>
      </c>
      <c r="L147" s="225">
        <f t="shared" si="30"/>
        <v>4670</v>
      </c>
      <c r="M147" s="225">
        <f t="shared" si="30"/>
        <v>0</v>
      </c>
      <c r="N147" s="225">
        <f t="shared" si="30"/>
        <v>34942</v>
      </c>
      <c r="O147" s="225">
        <f t="shared" si="30"/>
        <v>124986</v>
      </c>
      <c r="P147" s="225">
        <f t="shared" si="30"/>
        <v>0</v>
      </c>
      <c r="Q147" s="225">
        <f t="shared" si="30"/>
        <v>192</v>
      </c>
      <c r="R147" s="225">
        <f t="shared" si="30"/>
        <v>0</v>
      </c>
      <c r="S147" s="225">
        <f t="shared" si="30"/>
        <v>560</v>
      </c>
      <c r="T147" s="225">
        <f t="shared" si="30"/>
        <v>2316</v>
      </c>
      <c r="U147" s="225">
        <f t="shared" si="30"/>
        <v>36</v>
      </c>
      <c r="V147" s="225">
        <f t="shared" si="30"/>
        <v>350</v>
      </c>
      <c r="W147" s="225">
        <f t="shared" si="30"/>
        <v>69</v>
      </c>
    </row>
    <row r="148" spans="1:23">
      <c r="A148" s="167" t="s">
        <v>1193</v>
      </c>
      <c r="B148" s="226">
        <f>SUM(C148:W148)</f>
        <v>150095</v>
      </c>
      <c r="C148" s="226">
        <v>544</v>
      </c>
      <c r="D148" s="226"/>
      <c r="E148" s="226">
        <v>347</v>
      </c>
      <c r="F148" s="226">
        <v>2889</v>
      </c>
      <c r="G148" s="226">
        <v>2419</v>
      </c>
      <c r="H148" s="226">
        <v>70</v>
      </c>
      <c r="I148" s="226">
        <v>1458</v>
      </c>
      <c r="J148" s="226">
        <v>12397</v>
      </c>
      <c r="K148" s="226">
        <v>1337</v>
      </c>
      <c r="L148" s="226">
        <v>1872</v>
      </c>
      <c r="M148" s="226"/>
      <c r="N148" s="226">
        <v>605</v>
      </c>
      <c r="O148" s="226">
        <v>124986</v>
      </c>
      <c r="P148" s="226">
        <v>0</v>
      </c>
      <c r="Q148" s="226">
        <v>192</v>
      </c>
      <c r="R148" s="226"/>
      <c r="S148" s="226">
        <v>560</v>
      </c>
      <c r="T148" s="226"/>
      <c r="U148" s="226"/>
      <c r="V148" s="226">
        <v>350</v>
      </c>
      <c r="W148" s="226">
        <v>69</v>
      </c>
    </row>
    <row r="149" spans="1:23">
      <c r="A149" s="167" t="s">
        <v>1194</v>
      </c>
      <c r="B149" s="226">
        <f>SUM(B150:B152)</f>
        <v>91534</v>
      </c>
      <c r="C149" s="226">
        <f t="shared" ref="C149:W149" si="31">SUM(C150:C152)</f>
        <v>6021</v>
      </c>
      <c r="D149" s="226">
        <f t="shared" si="31"/>
        <v>0</v>
      </c>
      <c r="E149" s="226">
        <f t="shared" si="31"/>
        <v>1064</v>
      </c>
      <c r="F149" s="226">
        <f t="shared" si="31"/>
        <v>4086</v>
      </c>
      <c r="G149" s="226">
        <f t="shared" si="31"/>
        <v>14419</v>
      </c>
      <c r="H149" s="226">
        <f t="shared" si="31"/>
        <v>0</v>
      </c>
      <c r="I149" s="226">
        <f t="shared" si="31"/>
        <v>3203</v>
      </c>
      <c r="J149" s="226">
        <f t="shared" si="31"/>
        <v>11097</v>
      </c>
      <c r="K149" s="226">
        <f t="shared" si="31"/>
        <v>12157</v>
      </c>
      <c r="L149" s="226">
        <f t="shared" si="31"/>
        <v>2798</v>
      </c>
      <c r="M149" s="226">
        <f t="shared" si="31"/>
        <v>0</v>
      </c>
      <c r="N149" s="226">
        <f t="shared" si="31"/>
        <v>34337</v>
      </c>
      <c r="O149" s="226">
        <f t="shared" si="31"/>
        <v>0</v>
      </c>
      <c r="P149" s="226">
        <f t="shared" si="31"/>
        <v>0</v>
      </c>
      <c r="Q149" s="226">
        <f t="shared" si="31"/>
        <v>0</v>
      </c>
      <c r="R149" s="226">
        <f t="shared" si="31"/>
        <v>0</v>
      </c>
      <c r="S149" s="226">
        <f t="shared" si="31"/>
        <v>0</v>
      </c>
      <c r="T149" s="226">
        <f t="shared" si="31"/>
        <v>2316</v>
      </c>
      <c r="U149" s="226">
        <f t="shared" si="31"/>
        <v>36</v>
      </c>
      <c r="V149" s="226">
        <f t="shared" si="31"/>
        <v>0</v>
      </c>
      <c r="W149" s="226">
        <f t="shared" si="31"/>
        <v>0</v>
      </c>
    </row>
    <row r="150" spans="1:23">
      <c r="A150" s="167" t="s">
        <v>1689</v>
      </c>
      <c r="B150" s="225">
        <f>SUM(C150:W150)</f>
        <v>49855</v>
      </c>
      <c r="C150" s="225">
        <v>1795</v>
      </c>
      <c r="D150" s="225"/>
      <c r="E150" s="225">
        <v>91</v>
      </c>
      <c r="F150" s="225">
        <v>2765</v>
      </c>
      <c r="G150" s="225">
        <v>8837</v>
      </c>
      <c r="H150" s="225"/>
      <c r="I150" s="225">
        <v>1777</v>
      </c>
      <c r="J150" s="225">
        <v>7082</v>
      </c>
      <c r="K150" s="225">
        <v>6234</v>
      </c>
      <c r="L150" s="225">
        <v>680</v>
      </c>
      <c r="M150" s="225"/>
      <c r="N150" s="225">
        <v>18551</v>
      </c>
      <c r="O150" s="225"/>
      <c r="P150" s="225"/>
      <c r="Q150" s="225"/>
      <c r="R150" s="225"/>
      <c r="S150" s="225"/>
      <c r="T150" s="225">
        <v>2043</v>
      </c>
      <c r="U150" s="225"/>
      <c r="V150" s="225"/>
      <c r="W150" s="225"/>
    </row>
    <row r="151" spans="1:23">
      <c r="A151" s="167" t="s">
        <v>1644</v>
      </c>
      <c r="B151" s="225">
        <f>SUM(C151:W151)</f>
        <v>28140</v>
      </c>
      <c r="C151" s="226">
        <v>2220</v>
      </c>
      <c r="D151" s="226"/>
      <c r="E151" s="226">
        <v>577</v>
      </c>
      <c r="F151" s="226">
        <v>861</v>
      </c>
      <c r="G151" s="226">
        <v>3572</v>
      </c>
      <c r="H151" s="226"/>
      <c r="I151" s="226">
        <v>805</v>
      </c>
      <c r="J151" s="226">
        <v>2827</v>
      </c>
      <c r="K151" s="226">
        <v>4538</v>
      </c>
      <c r="L151" s="226">
        <v>1838</v>
      </c>
      <c r="M151" s="226"/>
      <c r="N151" s="226">
        <v>10593</v>
      </c>
      <c r="O151" s="226"/>
      <c r="P151" s="226"/>
      <c r="Q151" s="226"/>
      <c r="R151" s="226"/>
      <c r="S151" s="226"/>
      <c r="T151" s="226">
        <v>273</v>
      </c>
      <c r="U151" s="226">
        <v>36</v>
      </c>
      <c r="V151" s="226"/>
      <c r="W151" s="226"/>
    </row>
    <row r="152" spans="1:23">
      <c r="A152" s="167" t="s">
        <v>1690</v>
      </c>
      <c r="B152" s="225">
        <f>SUM(C152:W152)</f>
        <v>13539</v>
      </c>
      <c r="C152" s="226">
        <v>2006</v>
      </c>
      <c r="D152" s="226"/>
      <c r="E152" s="226">
        <v>396</v>
      </c>
      <c r="F152" s="226">
        <v>460</v>
      </c>
      <c r="G152" s="226">
        <v>2010</v>
      </c>
      <c r="H152" s="226"/>
      <c r="I152" s="226">
        <v>621</v>
      </c>
      <c r="J152" s="226">
        <v>1188</v>
      </c>
      <c r="K152" s="226">
        <v>1385</v>
      </c>
      <c r="L152" s="226">
        <v>280</v>
      </c>
      <c r="M152" s="226"/>
      <c r="N152" s="226">
        <v>5193</v>
      </c>
      <c r="O152" s="226"/>
      <c r="P152" s="226"/>
      <c r="Q152" s="226"/>
      <c r="R152" s="226"/>
      <c r="S152" s="226"/>
      <c r="T152" s="226"/>
      <c r="U152" s="226"/>
      <c r="V152" s="226"/>
      <c r="W152" s="226"/>
    </row>
  </sheetData>
  <mergeCells count="3">
    <mergeCell ref="B4:W4"/>
    <mergeCell ref="A4:A5"/>
    <mergeCell ref="B2:U3"/>
  </mergeCells>
  <phoneticPr fontId="14" type="noConversion"/>
  <printOptions horizontalCentered="1"/>
  <pageMargins left="0.47244094488188998" right="0.47244094488188998" top="0.59055118110236204" bottom="0.47244094488188998" header="0.31496062992126" footer="0.31496062992126"/>
  <pageSetup paperSize="9" scale="85" orientation="landscape"/>
</worksheet>
</file>

<file path=xl/worksheets/sheet12.xml><?xml version="1.0" encoding="utf-8"?>
<worksheet xmlns="http://schemas.openxmlformats.org/spreadsheetml/2006/main" xmlns:r="http://schemas.openxmlformats.org/officeDocument/2006/relationships">
  <dimension ref="A1:I74"/>
  <sheetViews>
    <sheetView showGridLines="0" showZeros="0" workbookViewId="0">
      <pane ySplit="5" topLeftCell="A6" activePane="bottomLeft" state="frozen"/>
      <selection pane="bottomLeft" activeCell="E70" sqref="E70"/>
    </sheetView>
  </sheetViews>
  <sheetFormatPr defaultColWidth="9" defaultRowHeight="13.5"/>
  <cols>
    <col min="1" max="1" width="42.625" style="31" customWidth="1"/>
    <col min="2" max="3" width="13.625" style="31" customWidth="1"/>
    <col min="4" max="4" width="13.875" style="31" customWidth="1"/>
    <col min="5" max="5" width="57.75" style="31" customWidth="1"/>
    <col min="6" max="6" width="13.875" style="31" customWidth="1"/>
    <col min="7" max="8" width="13" style="31" customWidth="1"/>
    <col min="9" max="16384" width="9" style="31"/>
  </cols>
  <sheetData>
    <row r="1" spans="1:9" ht="14.25">
      <c r="A1" s="75" t="s">
        <v>1286</v>
      </c>
      <c r="H1" s="76" t="s">
        <v>0</v>
      </c>
    </row>
    <row r="2" spans="1:9" s="50" customFormat="1" ht="18" customHeight="1">
      <c r="A2" s="353" t="s">
        <v>1287</v>
      </c>
      <c r="B2" s="353"/>
      <c r="C2" s="353"/>
      <c r="D2" s="353"/>
      <c r="E2" s="353"/>
      <c r="F2" s="353"/>
      <c r="G2" s="353"/>
      <c r="H2" s="353"/>
    </row>
    <row r="3" spans="1:9" ht="18" customHeight="1">
      <c r="H3" s="76" t="s">
        <v>22</v>
      </c>
    </row>
    <row r="4" spans="1:9" ht="31.5" customHeight="1">
      <c r="A4" s="381" t="s">
        <v>1033</v>
      </c>
      <c r="B4" s="382"/>
      <c r="C4" s="382"/>
      <c r="D4" s="383"/>
      <c r="E4" s="381" t="s">
        <v>1034</v>
      </c>
      <c r="F4" s="382"/>
      <c r="G4" s="382"/>
      <c r="H4" s="383"/>
    </row>
    <row r="5" spans="1:9" ht="35.25" customHeight="1">
      <c r="A5" s="53" t="s">
        <v>23</v>
      </c>
      <c r="B5" s="54" t="s">
        <v>24</v>
      </c>
      <c r="C5" s="53" t="s">
        <v>25</v>
      </c>
      <c r="D5" s="54" t="s">
        <v>26</v>
      </c>
      <c r="E5" s="53" t="s">
        <v>23</v>
      </c>
      <c r="F5" s="54" t="s">
        <v>24</v>
      </c>
      <c r="G5" s="53" t="s">
        <v>25</v>
      </c>
      <c r="H5" s="54" t="s">
        <v>26</v>
      </c>
    </row>
    <row r="6" spans="1:9" ht="20.100000000000001" customHeight="1">
      <c r="A6" s="6" t="s">
        <v>1288</v>
      </c>
      <c r="B6" s="260"/>
      <c r="C6" s="261">
        <v>0</v>
      </c>
      <c r="D6" s="105" t="str">
        <f>IF(B6=0,"",ROUND(C6/B6,3))</f>
        <v/>
      </c>
      <c r="E6" s="6" t="s">
        <v>1289</v>
      </c>
      <c r="F6" s="275">
        <f>SUM(F7:F8)</f>
        <v>3847</v>
      </c>
      <c r="G6" s="277">
        <v>1713</v>
      </c>
      <c r="H6" s="105">
        <f>IF(F6=0,"",ROUND(G6/F6,3))</f>
        <v>0.44500000000000001</v>
      </c>
      <c r="I6" s="235"/>
    </row>
    <row r="7" spans="1:9" ht="20.100000000000001" customHeight="1">
      <c r="A7" s="6" t="s">
        <v>1290</v>
      </c>
      <c r="B7" s="278"/>
      <c r="C7" s="279">
        <v>0</v>
      </c>
      <c r="D7" s="105" t="str">
        <f t="shared" ref="D7:D70" si="0">IF(B7=0,"",ROUND(C7/B7,3))</f>
        <v/>
      </c>
      <c r="E7" s="8" t="s">
        <v>1291</v>
      </c>
      <c r="F7" s="236">
        <v>2164</v>
      </c>
      <c r="G7" s="118">
        <v>951</v>
      </c>
      <c r="H7" s="105">
        <f t="shared" ref="H7:H70" si="1">IF(F7=0,"",ROUND(G7/F7,3))</f>
        <v>0.439</v>
      </c>
      <c r="I7" s="235"/>
    </row>
    <row r="8" spans="1:9" ht="20.100000000000001" customHeight="1">
      <c r="A8" s="6" t="s">
        <v>1292</v>
      </c>
      <c r="B8" s="278"/>
      <c r="C8" s="279">
        <v>0</v>
      </c>
      <c r="D8" s="105" t="str">
        <f t="shared" si="0"/>
        <v/>
      </c>
      <c r="E8" s="8" t="s">
        <v>1293</v>
      </c>
      <c r="F8" s="236">
        <v>1683</v>
      </c>
      <c r="G8" s="118">
        <v>762</v>
      </c>
      <c r="H8" s="105">
        <f t="shared" si="1"/>
        <v>0.45300000000000001</v>
      </c>
      <c r="I8" s="235"/>
    </row>
    <row r="9" spans="1:9" ht="20.100000000000001" customHeight="1">
      <c r="A9" s="34" t="s">
        <v>1294</v>
      </c>
      <c r="B9" s="236">
        <v>321</v>
      </c>
      <c r="C9" s="118">
        <v>1000</v>
      </c>
      <c r="D9" s="105">
        <f t="shared" si="0"/>
        <v>3.1150000000000002</v>
      </c>
      <c r="E9" s="8" t="s">
        <v>1295</v>
      </c>
      <c r="F9" s="276"/>
      <c r="G9" s="118">
        <v>0</v>
      </c>
      <c r="H9" s="105" t="str">
        <f t="shared" si="1"/>
        <v/>
      </c>
      <c r="I9" s="235"/>
    </row>
    <row r="10" spans="1:9" ht="20.100000000000001" customHeight="1">
      <c r="A10" s="6" t="s">
        <v>1296</v>
      </c>
      <c r="B10" s="236">
        <v>1786</v>
      </c>
      <c r="C10" s="118">
        <v>7005</v>
      </c>
      <c r="D10" s="105">
        <f t="shared" si="0"/>
        <v>3.9220000000000002</v>
      </c>
      <c r="E10" s="6" t="s">
        <v>1297</v>
      </c>
      <c r="F10" s="236">
        <v>12496</v>
      </c>
      <c r="G10" s="270">
        <v>10746</v>
      </c>
      <c r="H10" s="105">
        <f t="shared" si="1"/>
        <v>0.86</v>
      </c>
      <c r="I10" s="235"/>
    </row>
    <row r="11" spans="1:9" ht="20.100000000000001" customHeight="1">
      <c r="A11" s="6" t="s">
        <v>1298</v>
      </c>
      <c r="B11" s="236">
        <v>23858</v>
      </c>
      <c r="C11" s="270">
        <v>18203</v>
      </c>
      <c r="D11" s="105">
        <f t="shared" si="0"/>
        <v>0.76300000000000001</v>
      </c>
      <c r="E11" s="8" t="s">
        <v>1299</v>
      </c>
      <c r="F11" s="236">
        <v>12496</v>
      </c>
      <c r="G11" s="270">
        <v>10707</v>
      </c>
      <c r="H11" s="105">
        <f t="shared" si="1"/>
        <v>0.85699999999999998</v>
      </c>
      <c r="I11" s="235"/>
    </row>
    <row r="12" spans="1:9" ht="20.100000000000001" customHeight="1">
      <c r="A12" s="6" t="s">
        <v>1300</v>
      </c>
      <c r="B12" s="236">
        <v>5274468</v>
      </c>
      <c r="C12" s="270">
        <v>5774480</v>
      </c>
      <c r="D12" s="105">
        <f t="shared" si="0"/>
        <v>1.095</v>
      </c>
      <c r="E12" s="8" t="s">
        <v>1301</v>
      </c>
      <c r="F12" s="276"/>
      <c r="G12" s="270">
        <v>39</v>
      </c>
      <c r="H12" s="105" t="str">
        <f t="shared" si="1"/>
        <v/>
      </c>
      <c r="I12" s="235"/>
    </row>
    <row r="13" spans="1:9" ht="20.100000000000001" customHeight="1">
      <c r="A13" s="6" t="s">
        <v>1302</v>
      </c>
      <c r="B13" s="276"/>
      <c r="C13" s="270">
        <v>40</v>
      </c>
      <c r="D13" s="105" t="str">
        <f t="shared" si="0"/>
        <v/>
      </c>
      <c r="E13" s="8" t="s">
        <v>1303</v>
      </c>
      <c r="F13" s="276"/>
      <c r="G13" s="270">
        <v>0</v>
      </c>
      <c r="H13" s="105" t="str">
        <f t="shared" si="1"/>
        <v/>
      </c>
      <c r="I13" s="235"/>
    </row>
    <row r="14" spans="1:9" ht="20.100000000000001" customHeight="1">
      <c r="A14" s="6" t="s">
        <v>1304</v>
      </c>
      <c r="B14" s="236">
        <v>106220</v>
      </c>
      <c r="C14" s="270">
        <v>99084</v>
      </c>
      <c r="D14" s="105">
        <f t="shared" si="0"/>
        <v>0.93300000000000005</v>
      </c>
      <c r="E14" s="6" t="s">
        <v>1305</v>
      </c>
      <c r="F14" s="236">
        <v>1756</v>
      </c>
      <c r="G14" s="270">
        <v>13404</v>
      </c>
      <c r="H14" s="105">
        <f t="shared" si="1"/>
        <v>7.633</v>
      </c>
      <c r="I14" s="235"/>
    </row>
    <row r="15" spans="1:9" ht="20.100000000000001" customHeight="1">
      <c r="A15" s="6" t="s">
        <v>1306</v>
      </c>
      <c r="B15" s="236">
        <v>110582</v>
      </c>
      <c r="C15" s="270">
        <v>204406</v>
      </c>
      <c r="D15" s="105">
        <f t="shared" si="0"/>
        <v>1.8480000000000001</v>
      </c>
      <c r="E15" s="6" t="s">
        <v>1307</v>
      </c>
      <c r="F15" s="236">
        <v>1756</v>
      </c>
      <c r="G15" s="270">
        <v>13404</v>
      </c>
      <c r="H15" s="105">
        <f t="shared" si="1"/>
        <v>7.633</v>
      </c>
      <c r="I15" s="235"/>
    </row>
    <row r="16" spans="1:9" ht="20.100000000000001" customHeight="1">
      <c r="A16" s="6" t="s">
        <v>1308</v>
      </c>
      <c r="B16" s="276"/>
      <c r="C16" s="270">
        <v>0</v>
      </c>
      <c r="D16" s="105" t="str">
        <f t="shared" si="0"/>
        <v/>
      </c>
      <c r="E16" s="6" t="s">
        <v>1309</v>
      </c>
      <c r="F16" s="276"/>
      <c r="G16" s="270">
        <v>0</v>
      </c>
      <c r="H16" s="105" t="str">
        <f t="shared" si="1"/>
        <v/>
      </c>
      <c r="I16" s="235"/>
    </row>
    <row r="17" spans="1:9" ht="20.100000000000001" customHeight="1">
      <c r="A17" s="6" t="s">
        <v>1310</v>
      </c>
      <c r="B17" s="276"/>
      <c r="C17" s="270">
        <v>0</v>
      </c>
      <c r="D17" s="105" t="str">
        <f t="shared" si="0"/>
        <v/>
      </c>
      <c r="E17" s="6" t="s">
        <v>1311</v>
      </c>
      <c r="F17" s="236">
        <v>4904966</v>
      </c>
      <c r="G17" s="270">
        <v>3542834</v>
      </c>
      <c r="H17" s="105">
        <f t="shared" si="1"/>
        <v>0.72199999999999998</v>
      </c>
      <c r="I17" s="235"/>
    </row>
    <row r="18" spans="1:9" ht="20.100000000000001" customHeight="1">
      <c r="A18" s="6" t="s">
        <v>1312</v>
      </c>
      <c r="B18" s="236">
        <v>166407</v>
      </c>
      <c r="C18" s="270">
        <v>155000</v>
      </c>
      <c r="D18" s="105">
        <f t="shared" si="0"/>
        <v>0.93100000000000005</v>
      </c>
      <c r="E18" s="6" t="s">
        <v>1313</v>
      </c>
      <c r="F18" s="236">
        <v>2814034</v>
      </c>
      <c r="G18" s="270">
        <v>3342845</v>
      </c>
      <c r="H18" s="105">
        <f t="shared" si="1"/>
        <v>1.1879999999999999</v>
      </c>
      <c r="I18" s="235"/>
    </row>
    <row r="19" spans="1:9" ht="20.100000000000001" customHeight="1">
      <c r="A19" s="6" t="s">
        <v>1314</v>
      </c>
      <c r="B19" s="236">
        <v>36749</v>
      </c>
      <c r="C19" s="270">
        <v>41616</v>
      </c>
      <c r="D19" s="105">
        <f t="shared" si="0"/>
        <v>1.1319999999999999</v>
      </c>
      <c r="E19" s="6" t="s">
        <v>1315</v>
      </c>
      <c r="F19" s="236">
        <v>137</v>
      </c>
      <c r="G19" s="270">
        <v>2054</v>
      </c>
      <c r="H19" s="105">
        <f t="shared" si="1"/>
        <v>14.993</v>
      </c>
      <c r="I19" s="235"/>
    </row>
    <row r="20" spans="1:9" ht="20.100000000000001" customHeight="1">
      <c r="A20" s="6" t="s">
        <v>1316</v>
      </c>
      <c r="B20" s="236">
        <v>33328</v>
      </c>
      <c r="C20" s="270">
        <v>33713</v>
      </c>
      <c r="D20" s="105">
        <f t="shared" si="0"/>
        <v>1.012</v>
      </c>
      <c r="E20" s="6" t="s">
        <v>1317</v>
      </c>
      <c r="F20" s="236">
        <v>7913</v>
      </c>
      <c r="G20" s="270">
        <v>9082</v>
      </c>
      <c r="H20" s="105">
        <f t="shared" si="1"/>
        <v>1.1479999999999999</v>
      </c>
      <c r="I20" s="235"/>
    </row>
    <row r="21" spans="1:9" ht="20.100000000000001" customHeight="1">
      <c r="A21" s="6" t="s">
        <v>1318</v>
      </c>
      <c r="B21" s="238">
        <v>8141</v>
      </c>
      <c r="C21" s="270">
        <v>2960</v>
      </c>
      <c r="D21" s="105">
        <f t="shared" si="0"/>
        <v>0.36399999999999999</v>
      </c>
      <c r="E21" s="6" t="s">
        <v>1319</v>
      </c>
      <c r="F21" s="236">
        <v>65892</v>
      </c>
      <c r="G21" s="270">
        <v>153193</v>
      </c>
      <c r="H21" s="105">
        <f t="shared" si="1"/>
        <v>2.3250000000000002</v>
      </c>
      <c r="I21" s="235"/>
    </row>
    <row r="22" spans="1:9" ht="20.100000000000001" customHeight="1">
      <c r="A22" s="6" t="s">
        <v>1320</v>
      </c>
      <c r="B22" s="236">
        <v>152197</v>
      </c>
      <c r="C22" s="270">
        <v>356530</v>
      </c>
      <c r="D22" s="105">
        <f t="shared" si="0"/>
        <v>2.343</v>
      </c>
      <c r="E22" s="6" t="s">
        <v>1321</v>
      </c>
      <c r="F22" s="236">
        <v>29299</v>
      </c>
      <c r="G22" s="270">
        <v>34140</v>
      </c>
      <c r="H22" s="105">
        <f t="shared" si="1"/>
        <v>1.165</v>
      </c>
      <c r="I22" s="235"/>
    </row>
    <row r="23" spans="1:9" ht="20.100000000000001" customHeight="1">
      <c r="A23" s="264"/>
      <c r="B23" s="280"/>
      <c r="C23" s="262">
        <v>0</v>
      </c>
      <c r="D23" s="105" t="str">
        <f t="shared" si="0"/>
        <v/>
      </c>
      <c r="E23" s="6" t="s">
        <v>1322</v>
      </c>
      <c r="F23" s="276"/>
      <c r="G23" s="270">
        <v>660</v>
      </c>
      <c r="H23" s="105" t="str">
        <f t="shared" si="1"/>
        <v/>
      </c>
      <c r="I23" s="235"/>
    </row>
    <row r="24" spans="1:9" ht="20.100000000000001" customHeight="1">
      <c r="A24" s="6"/>
      <c r="B24" s="280"/>
      <c r="C24" s="262">
        <v>0</v>
      </c>
      <c r="D24" s="105" t="str">
        <f t="shared" si="0"/>
        <v/>
      </c>
      <c r="E24" s="6" t="s">
        <v>1323</v>
      </c>
      <c r="F24" s="236">
        <v>930000</v>
      </c>
      <c r="G24" s="270">
        <v>860</v>
      </c>
      <c r="H24" s="105">
        <f t="shared" si="1"/>
        <v>1E-3</v>
      </c>
      <c r="I24" s="235"/>
    </row>
    <row r="25" spans="1:9" ht="20.100000000000001" customHeight="1">
      <c r="A25" s="33"/>
      <c r="B25" s="280"/>
      <c r="C25" s="262">
        <v>0</v>
      </c>
      <c r="D25" s="105" t="str">
        <f t="shared" si="0"/>
        <v/>
      </c>
      <c r="E25" s="6" t="s">
        <v>1324</v>
      </c>
      <c r="F25" s="236">
        <v>57000</v>
      </c>
      <c r="G25" s="270">
        <v>0</v>
      </c>
      <c r="H25" s="105">
        <f t="shared" si="1"/>
        <v>0</v>
      </c>
      <c r="I25" s="235"/>
    </row>
    <row r="26" spans="1:9" ht="20.100000000000001" customHeight="1">
      <c r="A26" s="33"/>
      <c r="B26" s="280"/>
      <c r="C26" s="262">
        <v>0</v>
      </c>
      <c r="D26" s="105" t="str">
        <f t="shared" si="0"/>
        <v/>
      </c>
      <c r="E26" s="6" t="s">
        <v>1325</v>
      </c>
      <c r="F26" s="236">
        <v>45000</v>
      </c>
      <c r="G26" s="270">
        <v>0</v>
      </c>
      <c r="H26" s="105">
        <f t="shared" si="1"/>
        <v>0</v>
      </c>
      <c r="I26" s="235"/>
    </row>
    <row r="27" spans="1:9" ht="20.100000000000001" customHeight="1">
      <c r="A27" s="33"/>
      <c r="B27" s="280"/>
      <c r="C27" s="262">
        <v>0</v>
      </c>
      <c r="D27" s="105" t="str">
        <f t="shared" si="0"/>
        <v/>
      </c>
      <c r="E27" s="6" t="s">
        <v>1326</v>
      </c>
      <c r="F27" s="236">
        <v>955691</v>
      </c>
      <c r="G27" s="270">
        <v>0</v>
      </c>
      <c r="H27" s="105">
        <f t="shared" si="1"/>
        <v>0</v>
      </c>
      <c r="I27" s="235"/>
    </row>
    <row r="28" spans="1:9" ht="20.100000000000001" customHeight="1">
      <c r="A28" s="8"/>
      <c r="B28" s="280"/>
      <c r="C28" s="262">
        <v>0</v>
      </c>
      <c r="D28" s="105" t="str">
        <f t="shared" si="0"/>
        <v/>
      </c>
      <c r="E28" s="6" t="s">
        <v>1327</v>
      </c>
      <c r="F28" s="276"/>
      <c r="G28" s="270">
        <v>3</v>
      </c>
      <c r="H28" s="105" t="str">
        <f t="shared" si="1"/>
        <v/>
      </c>
      <c r="I28" s="235"/>
    </row>
    <row r="29" spans="1:9" ht="20.100000000000001" customHeight="1">
      <c r="A29" s="8"/>
      <c r="B29" s="280"/>
      <c r="C29" s="262">
        <v>0</v>
      </c>
      <c r="D29" s="105" t="str">
        <f t="shared" si="0"/>
        <v/>
      </c>
      <c r="E29" s="6" t="s">
        <v>1328</v>
      </c>
      <c r="F29" s="276"/>
      <c r="G29" s="270">
        <v>3</v>
      </c>
      <c r="H29" s="105" t="str">
        <f t="shared" si="1"/>
        <v/>
      </c>
      <c r="I29" s="235"/>
    </row>
    <row r="30" spans="1:9" ht="20.100000000000001" customHeight="1">
      <c r="A30" s="8"/>
      <c r="B30" s="280"/>
      <c r="C30" s="262">
        <v>0</v>
      </c>
      <c r="D30" s="105" t="str">
        <f t="shared" si="0"/>
        <v/>
      </c>
      <c r="E30" s="56" t="s">
        <v>1329</v>
      </c>
      <c r="F30" s="276"/>
      <c r="G30" s="270">
        <v>0</v>
      </c>
      <c r="H30" s="105" t="str">
        <f t="shared" si="1"/>
        <v/>
      </c>
      <c r="I30" s="235"/>
    </row>
    <row r="31" spans="1:9" ht="20.100000000000001" customHeight="1">
      <c r="A31" s="8"/>
      <c r="B31" s="280"/>
      <c r="C31" s="262">
        <v>0</v>
      </c>
      <c r="D31" s="105" t="str">
        <f t="shared" si="0"/>
        <v/>
      </c>
      <c r="E31" s="56" t="s">
        <v>1330</v>
      </c>
      <c r="F31" s="276"/>
      <c r="G31" s="270">
        <v>0</v>
      </c>
      <c r="H31" s="105" t="str">
        <f t="shared" si="1"/>
        <v/>
      </c>
      <c r="I31" s="235"/>
    </row>
    <row r="32" spans="1:9" ht="20.100000000000001" customHeight="1">
      <c r="A32" s="8"/>
      <c r="B32" s="280"/>
      <c r="C32" s="262">
        <v>0</v>
      </c>
      <c r="D32" s="105" t="str">
        <f t="shared" si="0"/>
        <v/>
      </c>
      <c r="E32" s="266" t="s">
        <v>1331</v>
      </c>
      <c r="F32" s="276"/>
      <c r="G32" s="270">
        <v>0</v>
      </c>
      <c r="H32" s="105" t="str">
        <f t="shared" si="1"/>
        <v/>
      </c>
      <c r="I32" s="235"/>
    </row>
    <row r="33" spans="1:9" ht="20.100000000000001" customHeight="1">
      <c r="A33" s="8"/>
      <c r="B33" s="280"/>
      <c r="C33" s="262">
        <v>0</v>
      </c>
      <c r="D33" s="105" t="str">
        <f t="shared" si="0"/>
        <v/>
      </c>
      <c r="E33" s="266" t="s">
        <v>1332</v>
      </c>
      <c r="F33" s="276"/>
      <c r="G33" s="270">
        <v>0</v>
      </c>
      <c r="H33" s="105" t="str">
        <f t="shared" si="1"/>
        <v/>
      </c>
      <c r="I33" s="235"/>
    </row>
    <row r="34" spans="1:9" ht="20.100000000000001" customHeight="1">
      <c r="A34" s="8"/>
      <c r="B34" s="280"/>
      <c r="C34" s="262">
        <v>0</v>
      </c>
      <c r="D34" s="105" t="str">
        <f t="shared" si="0"/>
        <v/>
      </c>
      <c r="E34" s="8" t="s">
        <v>1333</v>
      </c>
      <c r="F34" s="236">
        <v>492803</v>
      </c>
      <c r="G34" s="270">
        <v>30046</v>
      </c>
      <c r="H34" s="105">
        <f t="shared" si="1"/>
        <v>6.0999999999999999E-2</v>
      </c>
      <c r="I34" s="235"/>
    </row>
    <row r="35" spans="1:9" ht="20.100000000000001" customHeight="1">
      <c r="A35" s="8"/>
      <c r="B35" s="280"/>
      <c r="C35" s="262">
        <v>0</v>
      </c>
      <c r="D35" s="105" t="str">
        <f t="shared" si="0"/>
        <v/>
      </c>
      <c r="E35" s="56" t="s">
        <v>1334</v>
      </c>
      <c r="F35" s="276"/>
      <c r="G35" s="270">
        <v>0</v>
      </c>
      <c r="H35" s="105" t="str">
        <f t="shared" si="1"/>
        <v/>
      </c>
      <c r="I35" s="235"/>
    </row>
    <row r="36" spans="1:9" ht="20.100000000000001" customHeight="1">
      <c r="A36" s="8"/>
      <c r="B36" s="280"/>
      <c r="C36" s="262">
        <v>0</v>
      </c>
      <c r="D36" s="105" t="str">
        <f t="shared" si="0"/>
        <v/>
      </c>
      <c r="E36" s="56" t="s">
        <v>1335</v>
      </c>
      <c r="F36" s="236">
        <v>85051</v>
      </c>
      <c r="G36" s="270">
        <v>30000</v>
      </c>
      <c r="H36" s="105">
        <f t="shared" si="1"/>
        <v>0.35299999999999998</v>
      </c>
      <c r="I36" s="235"/>
    </row>
    <row r="37" spans="1:9" ht="20.100000000000001" customHeight="1">
      <c r="A37" s="8"/>
      <c r="B37" s="280"/>
      <c r="C37" s="262">
        <v>0</v>
      </c>
      <c r="D37" s="105" t="str">
        <f t="shared" si="0"/>
        <v/>
      </c>
      <c r="E37" s="56" t="s">
        <v>1336</v>
      </c>
      <c r="F37" s="276"/>
      <c r="G37" s="270">
        <v>0</v>
      </c>
      <c r="H37" s="105" t="str">
        <f t="shared" si="1"/>
        <v/>
      </c>
      <c r="I37" s="235"/>
    </row>
    <row r="38" spans="1:9" s="51" customFormat="1" ht="20.100000000000001" customHeight="1">
      <c r="A38" s="8"/>
      <c r="B38" s="280"/>
      <c r="C38" s="262">
        <v>0</v>
      </c>
      <c r="D38" s="105" t="str">
        <f t="shared" si="0"/>
        <v/>
      </c>
      <c r="E38" s="56" t="s">
        <v>1337</v>
      </c>
      <c r="F38" s="276"/>
      <c r="G38" s="270">
        <v>0</v>
      </c>
      <c r="H38" s="105" t="str">
        <f t="shared" si="1"/>
        <v/>
      </c>
      <c r="I38" s="235"/>
    </row>
    <row r="39" spans="1:9" ht="20.100000000000001" customHeight="1">
      <c r="A39" s="8"/>
      <c r="B39" s="280"/>
      <c r="C39" s="262">
        <v>0</v>
      </c>
      <c r="D39" s="105" t="str">
        <f t="shared" si="0"/>
        <v/>
      </c>
      <c r="E39" s="56" t="s">
        <v>1338</v>
      </c>
      <c r="F39" s="276"/>
      <c r="G39" s="270">
        <v>0</v>
      </c>
      <c r="H39" s="105" t="str">
        <f t="shared" si="1"/>
        <v/>
      </c>
      <c r="I39" s="235"/>
    </row>
    <row r="40" spans="1:9" ht="20.100000000000001" customHeight="1">
      <c r="A40" s="6"/>
      <c r="B40" s="280"/>
      <c r="C40" s="262">
        <v>0</v>
      </c>
      <c r="D40" s="105" t="str">
        <f t="shared" si="0"/>
        <v/>
      </c>
      <c r="E40" s="56" t="s">
        <v>1339</v>
      </c>
      <c r="F40" s="236">
        <v>169752</v>
      </c>
      <c r="G40" s="270">
        <v>46</v>
      </c>
      <c r="H40" s="105">
        <f t="shared" si="1"/>
        <v>0</v>
      </c>
      <c r="I40" s="235"/>
    </row>
    <row r="41" spans="1:9" ht="20.100000000000001" customHeight="1">
      <c r="A41" s="6"/>
      <c r="B41" s="280"/>
      <c r="C41" s="262">
        <v>0</v>
      </c>
      <c r="D41" s="105" t="str">
        <f t="shared" si="0"/>
        <v/>
      </c>
      <c r="E41" s="56" t="s">
        <v>1340</v>
      </c>
      <c r="F41" s="276"/>
      <c r="G41" s="270">
        <v>0</v>
      </c>
      <c r="H41" s="105" t="str">
        <f t="shared" si="1"/>
        <v/>
      </c>
      <c r="I41" s="235"/>
    </row>
    <row r="42" spans="1:9" ht="20.100000000000001" customHeight="1">
      <c r="A42" s="6"/>
      <c r="B42" s="280"/>
      <c r="C42" s="262">
        <v>0</v>
      </c>
      <c r="D42" s="105" t="str">
        <f t="shared" si="0"/>
        <v/>
      </c>
      <c r="E42" s="56" t="s">
        <v>1341</v>
      </c>
      <c r="F42" s="236">
        <v>238000</v>
      </c>
      <c r="G42" s="270">
        <v>0</v>
      </c>
      <c r="H42" s="105">
        <f t="shared" si="1"/>
        <v>0</v>
      </c>
      <c r="I42" s="235"/>
    </row>
    <row r="43" spans="1:9" ht="20.100000000000001" customHeight="1">
      <c r="A43" s="6"/>
      <c r="B43" s="280"/>
      <c r="C43" s="262">
        <v>0</v>
      </c>
      <c r="D43" s="105" t="str">
        <f t="shared" si="0"/>
        <v/>
      </c>
      <c r="E43" s="56" t="s">
        <v>1342</v>
      </c>
      <c r="F43" s="276"/>
      <c r="G43" s="270">
        <v>0</v>
      </c>
      <c r="H43" s="105" t="str">
        <f t="shared" si="1"/>
        <v/>
      </c>
      <c r="I43" s="235"/>
    </row>
    <row r="44" spans="1:9" ht="20.100000000000001" customHeight="1">
      <c r="A44" s="6"/>
      <c r="B44" s="280"/>
      <c r="C44" s="262">
        <v>0</v>
      </c>
      <c r="D44" s="105" t="str">
        <f t="shared" si="0"/>
        <v/>
      </c>
      <c r="E44" s="56" t="s">
        <v>1343</v>
      </c>
      <c r="F44" s="276"/>
      <c r="G44" s="270">
        <v>0</v>
      </c>
      <c r="H44" s="105" t="str">
        <f t="shared" si="1"/>
        <v/>
      </c>
      <c r="I44" s="235"/>
    </row>
    <row r="45" spans="1:9" ht="20.100000000000001" customHeight="1">
      <c r="A45" s="6"/>
      <c r="B45" s="280"/>
      <c r="C45" s="262">
        <v>0</v>
      </c>
      <c r="D45" s="105" t="str">
        <f t="shared" si="0"/>
        <v/>
      </c>
      <c r="E45" s="8" t="s">
        <v>1344</v>
      </c>
      <c r="F45" s="276"/>
      <c r="G45" s="270">
        <v>0</v>
      </c>
      <c r="H45" s="105" t="str">
        <f t="shared" si="1"/>
        <v/>
      </c>
      <c r="I45" s="235"/>
    </row>
    <row r="46" spans="1:9" ht="20.100000000000001" customHeight="1">
      <c r="A46" s="6"/>
      <c r="B46" s="280"/>
      <c r="C46" s="262">
        <v>0</v>
      </c>
      <c r="D46" s="105" t="str">
        <f>IF(B46=0,"",ROUND(C46/B46,3))</f>
        <v/>
      </c>
      <c r="E46" s="56" t="s">
        <v>1345</v>
      </c>
      <c r="F46" s="276"/>
      <c r="G46" s="270">
        <v>0</v>
      </c>
      <c r="H46" s="105" t="str">
        <f>IF(F46=0,"",ROUND(G46/F46,3))</f>
        <v/>
      </c>
      <c r="I46" s="235"/>
    </row>
    <row r="47" spans="1:9" ht="20.100000000000001" customHeight="1">
      <c r="A47" s="6"/>
      <c r="B47" s="280"/>
      <c r="C47" s="262">
        <v>0</v>
      </c>
      <c r="D47" s="105" t="str">
        <f t="shared" si="0"/>
        <v/>
      </c>
      <c r="E47" s="8" t="s">
        <v>1346</v>
      </c>
      <c r="F47" s="236">
        <v>6648833</v>
      </c>
      <c r="G47" s="270">
        <v>363918</v>
      </c>
      <c r="H47" s="105">
        <f t="shared" si="1"/>
        <v>5.5E-2</v>
      </c>
      <c r="I47" s="235"/>
    </row>
    <row r="48" spans="1:9" ht="20.100000000000001" customHeight="1">
      <c r="A48" s="57"/>
      <c r="B48" s="280"/>
      <c r="C48" s="262">
        <v>0</v>
      </c>
      <c r="D48" s="105" t="str">
        <f t="shared" si="0"/>
        <v/>
      </c>
      <c r="E48" s="56" t="s">
        <v>1347</v>
      </c>
      <c r="F48" s="236">
        <v>6471411</v>
      </c>
      <c r="G48" s="270">
        <v>208842</v>
      </c>
      <c r="H48" s="105">
        <f t="shared" si="1"/>
        <v>3.2000000000000001E-2</v>
      </c>
      <c r="I48" s="235"/>
    </row>
    <row r="49" spans="1:9" ht="20.100000000000001" customHeight="1">
      <c r="A49" s="57"/>
      <c r="B49" s="280"/>
      <c r="C49" s="262">
        <v>0</v>
      </c>
      <c r="D49" s="105" t="str">
        <f t="shared" si="0"/>
        <v/>
      </c>
      <c r="E49" s="56" t="s">
        <v>1348</v>
      </c>
      <c r="F49" s="236">
        <v>28572</v>
      </c>
      <c r="G49" s="270">
        <v>27784</v>
      </c>
      <c r="H49" s="105">
        <f t="shared" si="1"/>
        <v>0.97199999999999998</v>
      </c>
      <c r="I49" s="235"/>
    </row>
    <row r="50" spans="1:9" ht="20.100000000000001" customHeight="1">
      <c r="A50" s="57"/>
      <c r="B50" s="280"/>
      <c r="C50" s="262">
        <v>0</v>
      </c>
      <c r="D50" s="105" t="str">
        <f t="shared" si="0"/>
        <v/>
      </c>
      <c r="E50" s="56" t="s">
        <v>1349</v>
      </c>
      <c r="F50" s="236">
        <v>148850</v>
      </c>
      <c r="G50" s="270">
        <v>127292</v>
      </c>
      <c r="H50" s="105">
        <f t="shared" si="1"/>
        <v>0.85499999999999998</v>
      </c>
      <c r="I50" s="235"/>
    </row>
    <row r="51" spans="1:9" ht="20.100000000000001" customHeight="1">
      <c r="A51" s="57"/>
      <c r="B51" s="280"/>
      <c r="C51" s="262">
        <v>0</v>
      </c>
      <c r="D51" s="105" t="str">
        <f t="shared" si="0"/>
        <v/>
      </c>
      <c r="E51" s="8" t="s">
        <v>1350</v>
      </c>
      <c r="F51" s="236">
        <v>582729</v>
      </c>
      <c r="G51" s="270">
        <v>787002</v>
      </c>
      <c r="H51" s="105">
        <f t="shared" si="1"/>
        <v>1.351</v>
      </c>
      <c r="I51" s="235"/>
    </row>
    <row r="52" spans="1:9" ht="20.100000000000001" customHeight="1">
      <c r="A52" s="57"/>
      <c r="B52" s="280"/>
      <c r="C52" s="262">
        <v>0</v>
      </c>
      <c r="D52" s="105" t="str">
        <f t="shared" si="0"/>
        <v/>
      </c>
      <c r="E52" s="8" t="s">
        <v>1351</v>
      </c>
      <c r="F52" s="236">
        <v>8657</v>
      </c>
      <c r="G52" s="270">
        <v>2597</v>
      </c>
      <c r="H52" s="105">
        <f t="shared" si="1"/>
        <v>0.3</v>
      </c>
      <c r="I52" s="235"/>
    </row>
    <row r="53" spans="1:9" ht="20.100000000000001" customHeight="1">
      <c r="A53" s="57"/>
      <c r="B53" s="280"/>
      <c r="C53" s="262">
        <v>0</v>
      </c>
      <c r="D53" s="105" t="str">
        <f t="shared" si="0"/>
        <v/>
      </c>
      <c r="E53" s="8" t="s">
        <v>1352</v>
      </c>
      <c r="F53" s="236">
        <v>1614968</v>
      </c>
      <c r="G53" s="270">
        <v>31242</v>
      </c>
      <c r="H53" s="105">
        <f t="shared" si="1"/>
        <v>1.9E-2</v>
      </c>
      <c r="I53" s="235"/>
    </row>
    <row r="54" spans="1:9" ht="20.100000000000001" customHeight="1">
      <c r="A54" s="57"/>
      <c r="B54" s="280"/>
      <c r="C54" s="262">
        <v>0</v>
      </c>
      <c r="D54" s="105" t="str">
        <f t="shared" si="0"/>
        <v/>
      </c>
      <c r="E54" s="8"/>
      <c r="F54" s="276"/>
      <c r="G54" s="270">
        <v>0</v>
      </c>
      <c r="H54" s="105" t="str">
        <f t="shared" si="1"/>
        <v/>
      </c>
      <c r="I54" s="235"/>
    </row>
    <row r="55" spans="1:9" ht="20.100000000000001" customHeight="1">
      <c r="A55" s="57"/>
      <c r="B55" s="280"/>
      <c r="C55" s="262">
        <v>0</v>
      </c>
      <c r="D55" s="105" t="str">
        <f t="shared" si="0"/>
        <v/>
      </c>
      <c r="E55" s="8"/>
      <c r="F55" s="276"/>
      <c r="G55" s="270">
        <v>0</v>
      </c>
      <c r="H55" s="105" t="str">
        <f t="shared" si="1"/>
        <v/>
      </c>
      <c r="I55" s="235"/>
    </row>
    <row r="56" spans="1:9" ht="20.100000000000001" customHeight="1">
      <c r="A56" s="57"/>
      <c r="B56" s="280"/>
      <c r="C56" s="262">
        <v>0</v>
      </c>
      <c r="D56" s="105" t="str">
        <f t="shared" si="0"/>
        <v/>
      </c>
      <c r="E56" s="8"/>
      <c r="F56" s="276"/>
      <c r="G56" s="270">
        <v>0</v>
      </c>
      <c r="H56" s="105" t="str">
        <f t="shared" si="1"/>
        <v/>
      </c>
      <c r="I56" s="235"/>
    </row>
    <row r="57" spans="1:9" ht="20.100000000000001" customHeight="1">
      <c r="A57" s="57"/>
      <c r="B57" s="280"/>
      <c r="C57" s="262">
        <v>0</v>
      </c>
      <c r="D57" s="105" t="str">
        <f t="shared" si="0"/>
        <v/>
      </c>
      <c r="E57" s="8"/>
      <c r="F57" s="276"/>
      <c r="G57" s="270">
        <v>0</v>
      </c>
      <c r="H57" s="105" t="str">
        <f t="shared" si="1"/>
        <v/>
      </c>
      <c r="I57" s="235"/>
    </row>
    <row r="58" spans="1:9" ht="20.100000000000001" customHeight="1">
      <c r="A58" s="57"/>
      <c r="B58" s="280"/>
      <c r="C58" s="262">
        <v>0</v>
      </c>
      <c r="D58" s="105" t="str">
        <f t="shared" si="0"/>
        <v/>
      </c>
      <c r="E58" s="8"/>
      <c r="F58" s="276"/>
      <c r="G58" s="270">
        <v>0</v>
      </c>
      <c r="H58" s="105" t="str">
        <f t="shared" si="1"/>
        <v/>
      </c>
      <c r="I58" s="235"/>
    </row>
    <row r="59" spans="1:9" ht="20.100000000000001" customHeight="1">
      <c r="A59" s="57"/>
      <c r="B59" s="280"/>
      <c r="C59" s="262">
        <v>0</v>
      </c>
      <c r="D59" s="105" t="str">
        <f t="shared" si="0"/>
        <v/>
      </c>
      <c r="E59" s="8"/>
      <c r="F59" s="276"/>
      <c r="G59" s="270">
        <v>0</v>
      </c>
      <c r="H59" s="105" t="str">
        <f t="shared" si="1"/>
        <v/>
      </c>
      <c r="I59" s="235"/>
    </row>
    <row r="60" spans="1:9" ht="20.100000000000001" customHeight="1">
      <c r="A60" s="57"/>
      <c r="B60" s="280"/>
      <c r="C60" s="262">
        <v>0</v>
      </c>
      <c r="D60" s="105" t="str">
        <f t="shared" si="0"/>
        <v/>
      </c>
      <c r="E60" s="8"/>
      <c r="F60" s="276"/>
      <c r="G60" s="270">
        <v>0</v>
      </c>
      <c r="H60" s="105" t="str">
        <f t="shared" si="1"/>
        <v/>
      </c>
      <c r="I60" s="235"/>
    </row>
    <row r="61" spans="1:9" ht="20.100000000000001" customHeight="1">
      <c r="A61" s="57"/>
      <c r="B61" s="33"/>
      <c r="C61" s="265">
        <v>0</v>
      </c>
      <c r="D61" s="105" t="str">
        <f t="shared" si="0"/>
        <v/>
      </c>
      <c r="E61" s="57"/>
      <c r="F61" s="276"/>
      <c r="G61" s="270">
        <v>0</v>
      </c>
      <c r="H61" s="105" t="str">
        <f t="shared" si="1"/>
        <v/>
      </c>
      <c r="I61" s="235"/>
    </row>
    <row r="62" spans="1:9" s="51" customFormat="1" ht="20.100000000000001" customHeight="1">
      <c r="A62" s="57" t="s">
        <v>53</v>
      </c>
      <c r="B62" s="281">
        <f>SUM(B6:B61)</f>
        <v>5914057</v>
      </c>
      <c r="C62" s="281">
        <f>SUM(C6:C61)</f>
        <v>6694037</v>
      </c>
      <c r="D62" s="105">
        <f t="shared" si="0"/>
        <v>1.1319999999999999</v>
      </c>
      <c r="E62" s="268" t="s">
        <v>1030</v>
      </c>
      <c r="F62" s="269">
        <f>SUM(F6,F10,F14,F17,F28,F34,F45,F47,F51,F52,F53)</f>
        <v>14271055</v>
      </c>
      <c r="G62" s="272">
        <f>SUM(G6,G10,G14,G17,G28,G34,G45,G47,G51,G52,G53)</f>
        <v>4783505</v>
      </c>
      <c r="H62" s="105">
        <f t="shared" si="1"/>
        <v>0.33500000000000002</v>
      </c>
      <c r="I62" s="273"/>
    </row>
    <row r="63" spans="1:9" s="51" customFormat="1" ht="20.100000000000001" customHeight="1">
      <c r="A63" s="267" t="s">
        <v>1037</v>
      </c>
      <c r="B63" s="274">
        <f>SUM(B64,B67,B68,B70)</f>
        <v>11293256</v>
      </c>
      <c r="C63" s="281">
        <f>SUM(C64,C67,C68,C70,C71)</f>
        <v>854403</v>
      </c>
      <c r="D63" s="105">
        <f t="shared" si="0"/>
        <v>7.5999999999999998E-2</v>
      </c>
      <c r="E63" s="269" t="s">
        <v>1038</v>
      </c>
      <c r="F63" s="269">
        <f>SUM(F64,F67:F70)</f>
        <v>2936258</v>
      </c>
      <c r="G63" s="284">
        <f>SUM(G67,G68,G69)</f>
        <v>2764935</v>
      </c>
      <c r="H63" s="105">
        <f t="shared" si="1"/>
        <v>0.94199999999999995</v>
      </c>
    </row>
    <row r="64" spans="1:9" ht="20.100000000000001" customHeight="1">
      <c r="A64" s="33" t="s">
        <v>1353</v>
      </c>
      <c r="B64" s="237">
        <v>1937572</v>
      </c>
      <c r="C64" s="282">
        <f>SUM(C65:C66)</f>
        <v>25376</v>
      </c>
      <c r="D64" s="105">
        <f t="shared" si="0"/>
        <v>1.2999999999999999E-2</v>
      </c>
      <c r="E64" s="237" t="s">
        <v>1354</v>
      </c>
      <c r="F64" s="237"/>
      <c r="G64" s="263"/>
      <c r="H64" s="105" t="str">
        <f t="shared" si="1"/>
        <v/>
      </c>
    </row>
    <row r="65" spans="1:8" ht="20.100000000000001" customHeight="1">
      <c r="A65" s="33" t="s">
        <v>1355</v>
      </c>
      <c r="B65" s="237">
        <v>1937572</v>
      </c>
      <c r="C65" s="263">
        <v>25376</v>
      </c>
      <c r="D65" s="105">
        <f t="shared" si="0"/>
        <v>1.2999999999999999E-2</v>
      </c>
      <c r="E65" s="237" t="s">
        <v>1356</v>
      </c>
      <c r="F65" s="237"/>
      <c r="G65" s="263">
        <v>0</v>
      </c>
      <c r="H65" s="105" t="str">
        <f t="shared" si="1"/>
        <v/>
      </c>
    </row>
    <row r="66" spans="1:8" ht="20.100000000000001" customHeight="1">
      <c r="A66" s="33" t="s">
        <v>1357</v>
      </c>
      <c r="B66" s="237"/>
      <c r="C66" s="263"/>
      <c r="D66" s="105" t="str">
        <f t="shared" si="0"/>
        <v/>
      </c>
      <c r="E66" s="237" t="s">
        <v>1358</v>
      </c>
      <c r="F66" s="237"/>
      <c r="G66" s="263"/>
      <c r="H66" s="105" t="str">
        <f t="shared" si="1"/>
        <v/>
      </c>
    </row>
    <row r="67" spans="1:8" ht="20.100000000000001" customHeight="1">
      <c r="A67" s="33" t="s">
        <v>1108</v>
      </c>
      <c r="B67" s="283">
        <v>302764</v>
      </c>
      <c r="C67" s="236">
        <v>400624</v>
      </c>
      <c r="D67" s="105">
        <f t="shared" si="0"/>
        <v>1.323</v>
      </c>
      <c r="E67" s="237" t="s">
        <v>1359</v>
      </c>
      <c r="F67" s="236">
        <v>1905634</v>
      </c>
      <c r="G67" s="263">
        <v>1823023</v>
      </c>
      <c r="H67" s="105">
        <f t="shared" si="1"/>
        <v>0.95699999999999996</v>
      </c>
    </row>
    <row r="68" spans="1:8" ht="20.100000000000001" customHeight="1">
      <c r="A68" s="33" t="s">
        <v>1109</v>
      </c>
      <c r="B68" s="283">
        <v>22401</v>
      </c>
      <c r="C68" s="263">
        <v>8403</v>
      </c>
      <c r="D68" s="105">
        <f t="shared" si="0"/>
        <v>0.375</v>
      </c>
      <c r="E68" s="237" t="s">
        <v>1360</v>
      </c>
      <c r="F68" s="236">
        <v>400624</v>
      </c>
      <c r="G68" s="263">
        <v>379733</v>
      </c>
      <c r="H68" s="105">
        <f t="shared" si="1"/>
        <v>0.94799999999999995</v>
      </c>
    </row>
    <row r="69" spans="1:8" ht="20.100000000000001" customHeight="1">
      <c r="A69" s="33" t="s">
        <v>1361</v>
      </c>
      <c r="B69" s="237"/>
      <c r="C69" s="263">
        <v>0</v>
      </c>
      <c r="D69" s="105" t="str">
        <f t="shared" si="0"/>
        <v/>
      </c>
      <c r="E69" s="271" t="s">
        <v>1362</v>
      </c>
      <c r="F69" s="236">
        <v>630000</v>
      </c>
      <c r="G69" s="263">
        <v>562179</v>
      </c>
      <c r="H69" s="105">
        <f t="shared" si="1"/>
        <v>0.89200000000000002</v>
      </c>
    </row>
    <row r="70" spans="1:8" ht="20.100000000000001" customHeight="1">
      <c r="A70" s="73" t="s">
        <v>1363</v>
      </c>
      <c r="B70" s="283">
        <v>9030519</v>
      </c>
      <c r="C70" s="263">
        <v>420000</v>
      </c>
      <c r="D70" s="105">
        <f t="shared" si="0"/>
        <v>4.7E-2</v>
      </c>
      <c r="E70" s="271" t="s">
        <v>1364</v>
      </c>
      <c r="F70" s="237"/>
      <c r="G70" s="263">
        <v>0</v>
      </c>
      <c r="H70" s="105" t="str">
        <f t="shared" si="1"/>
        <v/>
      </c>
    </row>
    <row r="71" spans="1:8" ht="20.100000000000001" customHeight="1">
      <c r="A71" s="73" t="s">
        <v>1365</v>
      </c>
      <c r="B71" s="237"/>
      <c r="C71" s="263"/>
      <c r="D71" s="105" t="str">
        <f t="shared" ref="D71:D73" si="2">IF(B71=0,"",ROUND(C71/B71,3))</f>
        <v/>
      </c>
      <c r="E71" s="271"/>
      <c r="F71" s="237"/>
      <c r="G71" s="263">
        <v>0</v>
      </c>
      <c r="H71" s="105" t="str">
        <f t="shared" ref="H71:H73" si="3">IF(F71=0,"",ROUND(G71/F71,3))</f>
        <v/>
      </c>
    </row>
    <row r="72" spans="1:8" ht="20.100000000000001" customHeight="1">
      <c r="A72" s="73"/>
      <c r="B72" s="237"/>
      <c r="C72" s="263">
        <v>0</v>
      </c>
      <c r="D72" s="105" t="str">
        <f t="shared" si="2"/>
        <v/>
      </c>
      <c r="E72" s="271"/>
      <c r="F72" s="237"/>
      <c r="G72" s="263">
        <v>0</v>
      </c>
      <c r="H72" s="105" t="str">
        <f t="shared" si="3"/>
        <v/>
      </c>
    </row>
    <row r="73" spans="1:8" s="51" customFormat="1" ht="20.100000000000001" customHeight="1">
      <c r="A73" s="57" t="s">
        <v>1124</v>
      </c>
      <c r="B73" s="269">
        <f>SUM(B62:B63)</f>
        <v>17207313</v>
      </c>
      <c r="C73" s="284">
        <f>SUM(C62:C63)</f>
        <v>7548440</v>
      </c>
      <c r="D73" s="105">
        <f t="shared" si="2"/>
        <v>0.439</v>
      </c>
      <c r="E73" s="268" t="s">
        <v>1125</v>
      </c>
      <c r="F73" s="269">
        <f>SUM(F62:F63)</f>
        <v>17207313</v>
      </c>
      <c r="G73" s="284">
        <f>SUM(G62:G63)</f>
        <v>7548440</v>
      </c>
      <c r="H73" s="105">
        <f t="shared" si="3"/>
        <v>0.439</v>
      </c>
    </row>
    <row r="74" spans="1:8" ht="20.100000000000001" customHeight="1">
      <c r="G74" s="285"/>
    </row>
  </sheetData>
  <mergeCells count="3">
    <mergeCell ref="A2:H2"/>
    <mergeCell ref="A4:D4"/>
    <mergeCell ref="E4:H4"/>
  </mergeCells>
  <phoneticPr fontId="14" type="noConversion"/>
  <printOptions horizontalCentered="1"/>
  <pageMargins left="0.47244094488188998" right="0.47244094488188998" top="0.39370078740157499" bottom="0.27559055118110198" header="0.118110236220472" footer="0.118110236220472"/>
  <pageSetup paperSize="9" scale="65" orientation="landscape" r:id="rId1"/>
</worksheet>
</file>

<file path=xl/worksheets/sheet13.xml><?xml version="1.0" encoding="utf-8"?>
<worksheet xmlns="http://schemas.openxmlformats.org/spreadsheetml/2006/main" xmlns:r="http://schemas.openxmlformats.org/officeDocument/2006/relationships">
  <dimension ref="A1:D323"/>
  <sheetViews>
    <sheetView showGridLines="0" showZeros="0" zoomScale="90" zoomScaleNormal="90" workbookViewId="0">
      <pane ySplit="5" topLeftCell="A6" activePane="bottomLeft" state="frozen"/>
      <selection pane="bottomLeft" activeCell="B17" sqref="B17"/>
    </sheetView>
  </sheetViews>
  <sheetFormatPr defaultColWidth="9" defaultRowHeight="13.5"/>
  <cols>
    <col min="1" max="1" width="51" style="25" customWidth="1"/>
    <col min="2" max="2" width="13.75" style="300" customWidth="1"/>
    <col min="3" max="3" width="62.25" style="25" customWidth="1"/>
    <col min="4" max="4" width="15.625" style="300" customWidth="1"/>
    <col min="5" max="16384" width="9" style="25"/>
  </cols>
  <sheetData>
    <row r="1" spans="1:4" ht="14.25">
      <c r="A1" s="26" t="s">
        <v>1366</v>
      </c>
    </row>
    <row r="2" spans="1:4" s="24" customFormat="1" ht="18" customHeight="1">
      <c r="A2" s="351" t="s">
        <v>1367</v>
      </c>
      <c r="B2" s="351"/>
      <c r="C2" s="351"/>
      <c r="D2" s="351"/>
    </row>
    <row r="3" spans="1:4" ht="14.25" customHeight="1">
      <c r="D3" s="304" t="s">
        <v>22</v>
      </c>
    </row>
    <row r="4" spans="1:4" ht="31.5" customHeight="1">
      <c r="A4" s="384" t="s">
        <v>1033</v>
      </c>
      <c r="B4" s="361"/>
      <c r="C4" s="384" t="s">
        <v>1034</v>
      </c>
      <c r="D4" s="361"/>
    </row>
    <row r="5" spans="1:4" ht="19.5" customHeight="1">
      <c r="A5" s="5" t="s">
        <v>23</v>
      </c>
      <c r="B5" s="301" t="s">
        <v>25</v>
      </c>
      <c r="C5" s="5" t="s">
        <v>23</v>
      </c>
      <c r="D5" s="301" t="s">
        <v>25</v>
      </c>
    </row>
    <row r="6" spans="1:4" ht="20.100000000000001" customHeight="1">
      <c r="A6" s="22" t="s">
        <v>1288</v>
      </c>
      <c r="B6" s="302">
        <v>0</v>
      </c>
      <c r="C6" s="22" t="s">
        <v>1289</v>
      </c>
      <c r="D6" s="305">
        <v>1713</v>
      </c>
    </row>
    <row r="7" spans="1:4" ht="20.100000000000001" customHeight="1">
      <c r="A7" s="22" t="s">
        <v>1290</v>
      </c>
      <c r="B7" s="302">
        <v>0</v>
      </c>
      <c r="C7" s="8" t="s">
        <v>1291</v>
      </c>
      <c r="D7" s="302">
        <v>951</v>
      </c>
    </row>
    <row r="8" spans="1:4" ht="20.100000000000001" customHeight="1">
      <c r="A8" s="22" t="s">
        <v>1292</v>
      </c>
      <c r="B8" s="302">
        <v>0</v>
      </c>
      <c r="C8" s="11" t="s">
        <v>1368</v>
      </c>
      <c r="D8" s="302">
        <v>0</v>
      </c>
    </row>
    <row r="9" spans="1:4" ht="20.100000000000001" customHeight="1">
      <c r="A9" s="22" t="s">
        <v>1294</v>
      </c>
      <c r="B9" s="302">
        <v>1000</v>
      </c>
      <c r="C9" s="11" t="s">
        <v>1369</v>
      </c>
      <c r="D9" s="302">
        <v>20</v>
      </c>
    </row>
    <row r="10" spans="1:4" ht="20.100000000000001" customHeight="1">
      <c r="A10" s="22" t="s">
        <v>1296</v>
      </c>
      <c r="B10" s="302">
        <v>7005</v>
      </c>
      <c r="C10" s="11" t="s">
        <v>1370</v>
      </c>
      <c r="D10" s="302">
        <v>0</v>
      </c>
    </row>
    <row r="11" spans="1:4" ht="20.100000000000001" customHeight="1">
      <c r="A11" s="22" t="s">
        <v>1298</v>
      </c>
      <c r="B11" s="302">
        <v>18203</v>
      </c>
      <c r="C11" s="11" t="s">
        <v>1371</v>
      </c>
      <c r="D11" s="302">
        <v>0</v>
      </c>
    </row>
    <row r="12" spans="1:4" ht="20.100000000000001" customHeight="1">
      <c r="A12" s="22" t="s">
        <v>1300</v>
      </c>
      <c r="B12" s="302">
        <v>5774480</v>
      </c>
      <c r="C12" s="11" t="s">
        <v>1372</v>
      </c>
      <c r="D12" s="302">
        <v>931</v>
      </c>
    </row>
    <row r="13" spans="1:4" ht="20.100000000000001" customHeight="1">
      <c r="A13" s="28" t="s">
        <v>1373</v>
      </c>
      <c r="B13" s="302">
        <v>5039796</v>
      </c>
      <c r="C13" s="8" t="s">
        <v>1293</v>
      </c>
      <c r="D13" s="302">
        <v>762</v>
      </c>
    </row>
    <row r="14" spans="1:4" ht="20.100000000000001" customHeight="1">
      <c r="A14" s="28" t="s">
        <v>1374</v>
      </c>
      <c r="B14" s="302">
        <v>29445</v>
      </c>
      <c r="C14" s="8" t="s">
        <v>1375</v>
      </c>
      <c r="D14" s="302">
        <v>0</v>
      </c>
    </row>
    <row r="15" spans="1:4" ht="20.100000000000001" customHeight="1">
      <c r="A15" s="28" t="s">
        <v>1376</v>
      </c>
      <c r="B15" s="302">
        <v>67300</v>
      </c>
      <c r="C15" s="8" t="s">
        <v>1377</v>
      </c>
      <c r="D15" s="302">
        <v>0</v>
      </c>
    </row>
    <row r="16" spans="1:4" ht="20.100000000000001" customHeight="1">
      <c r="A16" s="28" t="s">
        <v>1378</v>
      </c>
      <c r="B16" s="96">
        <v>-5800</v>
      </c>
      <c r="C16" s="8" t="s">
        <v>1379</v>
      </c>
      <c r="D16" s="302">
        <v>0</v>
      </c>
    </row>
    <row r="17" spans="1:4" ht="20.100000000000001" customHeight="1">
      <c r="A17" s="28" t="s">
        <v>1380</v>
      </c>
      <c r="B17" s="302">
        <v>643739</v>
      </c>
      <c r="C17" s="8" t="s">
        <v>1381</v>
      </c>
      <c r="D17" s="302">
        <v>613</v>
      </c>
    </row>
    <row r="18" spans="1:4" ht="20.100000000000001" customHeight="1">
      <c r="A18" s="22" t="s">
        <v>1302</v>
      </c>
      <c r="B18" s="302">
        <v>40</v>
      </c>
      <c r="C18" s="8" t="s">
        <v>1382</v>
      </c>
      <c r="D18" s="302">
        <v>149</v>
      </c>
    </row>
    <row r="19" spans="1:4" ht="20.100000000000001" customHeight="1">
      <c r="A19" s="22" t="s">
        <v>1304</v>
      </c>
      <c r="B19" s="302">
        <v>99084</v>
      </c>
      <c r="C19" s="8" t="s">
        <v>1295</v>
      </c>
      <c r="D19" s="302">
        <v>0</v>
      </c>
    </row>
    <row r="20" spans="1:4" ht="20.100000000000001" customHeight="1">
      <c r="A20" s="28" t="s">
        <v>1383</v>
      </c>
      <c r="B20" s="302">
        <v>66005</v>
      </c>
      <c r="C20" s="10" t="s">
        <v>1384</v>
      </c>
      <c r="D20" s="302">
        <v>0</v>
      </c>
    </row>
    <row r="21" spans="1:4" ht="20.100000000000001" customHeight="1">
      <c r="A21" s="28" t="s">
        <v>1385</v>
      </c>
      <c r="B21" s="302">
        <v>33079</v>
      </c>
      <c r="C21" s="10" t="s">
        <v>1386</v>
      </c>
      <c r="D21" s="302">
        <v>0</v>
      </c>
    </row>
    <row r="22" spans="1:4" ht="20.100000000000001" customHeight="1">
      <c r="A22" s="22" t="s">
        <v>1306</v>
      </c>
      <c r="B22" s="302">
        <v>204406</v>
      </c>
      <c r="C22" s="22" t="s">
        <v>1297</v>
      </c>
      <c r="D22" s="302">
        <v>10746</v>
      </c>
    </row>
    <row r="23" spans="1:4" ht="20.100000000000001" customHeight="1">
      <c r="A23" s="22" t="s">
        <v>1308</v>
      </c>
      <c r="B23" s="302">
        <v>0</v>
      </c>
      <c r="C23" s="11" t="s">
        <v>1299</v>
      </c>
      <c r="D23" s="302">
        <v>10707</v>
      </c>
    </row>
    <row r="24" spans="1:4" ht="20.100000000000001" customHeight="1">
      <c r="A24" s="22" t="s">
        <v>1310</v>
      </c>
      <c r="B24" s="302">
        <v>0</v>
      </c>
      <c r="C24" s="11" t="s">
        <v>1387</v>
      </c>
      <c r="D24" s="302">
        <v>4605</v>
      </c>
    </row>
    <row r="25" spans="1:4" ht="20.100000000000001" customHeight="1">
      <c r="A25" s="22" t="s">
        <v>1312</v>
      </c>
      <c r="B25" s="302">
        <v>155000</v>
      </c>
      <c r="C25" s="11" t="s">
        <v>1388</v>
      </c>
      <c r="D25" s="302">
        <v>5244</v>
      </c>
    </row>
    <row r="26" spans="1:4" ht="20.100000000000001" customHeight="1">
      <c r="A26" s="22" t="s">
        <v>1314</v>
      </c>
      <c r="B26" s="302">
        <v>41616</v>
      </c>
      <c r="C26" s="11" t="s">
        <v>1389</v>
      </c>
      <c r="D26" s="302">
        <v>858</v>
      </c>
    </row>
    <row r="27" spans="1:4" ht="20.100000000000001" customHeight="1">
      <c r="A27" s="22" t="s">
        <v>1316</v>
      </c>
      <c r="B27" s="302">
        <v>33713</v>
      </c>
      <c r="C27" s="11" t="s">
        <v>1301</v>
      </c>
      <c r="D27" s="302">
        <v>39</v>
      </c>
    </row>
    <row r="28" spans="1:4" ht="20.100000000000001" customHeight="1">
      <c r="A28" s="7" t="s">
        <v>1390</v>
      </c>
      <c r="B28" s="302">
        <v>22133</v>
      </c>
      <c r="C28" s="11" t="s">
        <v>1387</v>
      </c>
      <c r="D28" s="302">
        <v>7</v>
      </c>
    </row>
    <row r="29" spans="1:4" ht="20.100000000000001" customHeight="1">
      <c r="A29" s="7" t="s">
        <v>1391</v>
      </c>
      <c r="B29" s="302">
        <v>11580</v>
      </c>
      <c r="C29" s="11" t="s">
        <v>1388</v>
      </c>
      <c r="D29" s="302">
        <v>32</v>
      </c>
    </row>
    <row r="30" spans="1:4" ht="20.100000000000001" customHeight="1">
      <c r="A30" s="7" t="s">
        <v>1392</v>
      </c>
      <c r="B30" s="302">
        <v>0</v>
      </c>
      <c r="C30" s="9" t="s">
        <v>1393</v>
      </c>
      <c r="D30" s="302">
        <v>0</v>
      </c>
    </row>
    <row r="31" spans="1:4" ht="20.100000000000001" customHeight="1">
      <c r="A31" s="7" t="s">
        <v>1394</v>
      </c>
      <c r="B31" s="302">
        <v>0</v>
      </c>
      <c r="C31" s="8" t="s">
        <v>1303</v>
      </c>
      <c r="D31" s="302">
        <v>0</v>
      </c>
    </row>
    <row r="32" spans="1:4" ht="20.100000000000001" customHeight="1">
      <c r="A32" s="7" t="s">
        <v>1395</v>
      </c>
      <c r="B32" s="302">
        <v>0</v>
      </c>
      <c r="C32" s="10" t="s">
        <v>1388</v>
      </c>
      <c r="D32" s="302">
        <v>0</v>
      </c>
    </row>
    <row r="33" spans="1:4" ht="20.100000000000001" customHeight="1">
      <c r="A33" s="22" t="s">
        <v>1318</v>
      </c>
      <c r="B33" s="302">
        <v>2960</v>
      </c>
      <c r="C33" s="10" t="s">
        <v>1396</v>
      </c>
      <c r="D33" s="302">
        <v>0</v>
      </c>
    </row>
    <row r="34" spans="1:4" ht="20.100000000000001" customHeight="1">
      <c r="A34" s="7" t="s">
        <v>1320</v>
      </c>
      <c r="B34" s="302">
        <v>356530</v>
      </c>
      <c r="C34" s="22" t="s">
        <v>1305</v>
      </c>
      <c r="D34" s="302">
        <v>13404</v>
      </c>
    </row>
    <row r="35" spans="1:4" ht="20.100000000000001" customHeight="1">
      <c r="A35" s="7"/>
      <c r="B35" s="302">
        <v>0</v>
      </c>
      <c r="C35" s="22" t="s">
        <v>1307</v>
      </c>
      <c r="D35" s="302">
        <v>13404</v>
      </c>
    </row>
    <row r="36" spans="1:4" ht="20.100000000000001" customHeight="1">
      <c r="A36" s="7"/>
      <c r="B36" s="302">
        <v>0</v>
      </c>
      <c r="C36" s="22" t="s">
        <v>1397</v>
      </c>
      <c r="D36" s="302">
        <v>0</v>
      </c>
    </row>
    <row r="37" spans="1:4" ht="20.100000000000001" customHeight="1">
      <c r="A37" s="7"/>
      <c r="B37" s="302">
        <v>0</v>
      </c>
      <c r="C37" s="22" t="s">
        <v>1398</v>
      </c>
      <c r="D37" s="302">
        <v>13312</v>
      </c>
    </row>
    <row r="38" spans="1:4" ht="20.100000000000001" customHeight="1">
      <c r="A38" s="7"/>
      <c r="B38" s="302">
        <v>0</v>
      </c>
      <c r="C38" s="22" t="s">
        <v>1399</v>
      </c>
      <c r="D38" s="302">
        <v>0</v>
      </c>
    </row>
    <row r="39" spans="1:4" ht="20.100000000000001" customHeight="1">
      <c r="A39" s="7"/>
      <c r="B39" s="302">
        <v>0</v>
      </c>
      <c r="C39" s="22" t="s">
        <v>1400</v>
      </c>
      <c r="D39" s="302">
        <v>92</v>
      </c>
    </row>
    <row r="40" spans="1:4" ht="20.100000000000001" customHeight="1">
      <c r="A40" s="7"/>
      <c r="B40" s="302">
        <v>0</v>
      </c>
      <c r="C40" s="22" t="s">
        <v>1309</v>
      </c>
      <c r="D40" s="302">
        <v>0</v>
      </c>
    </row>
    <row r="41" spans="1:4" ht="20.100000000000001" customHeight="1">
      <c r="A41" s="7"/>
      <c r="B41" s="302">
        <v>0</v>
      </c>
      <c r="C41" s="22" t="s">
        <v>1401</v>
      </c>
      <c r="D41" s="302">
        <v>0</v>
      </c>
    </row>
    <row r="42" spans="1:4" ht="20.100000000000001" customHeight="1">
      <c r="A42" s="7"/>
      <c r="B42" s="302">
        <v>0</v>
      </c>
      <c r="C42" s="22" t="s">
        <v>1402</v>
      </c>
      <c r="D42" s="302">
        <v>0</v>
      </c>
    </row>
    <row r="43" spans="1:4" ht="20.100000000000001" customHeight="1">
      <c r="A43" s="11"/>
      <c r="B43" s="302">
        <v>0</v>
      </c>
      <c r="C43" s="22" t="s">
        <v>1403</v>
      </c>
      <c r="D43" s="302">
        <v>0</v>
      </c>
    </row>
    <row r="44" spans="1:4" ht="20.100000000000001" customHeight="1">
      <c r="A44" s="11"/>
      <c r="B44" s="302">
        <v>0</v>
      </c>
      <c r="C44" s="22" t="s">
        <v>1404</v>
      </c>
      <c r="D44" s="302">
        <v>0</v>
      </c>
    </row>
    <row r="45" spans="1:4" ht="20.100000000000001" customHeight="1">
      <c r="A45" s="11"/>
      <c r="B45" s="302">
        <v>0</v>
      </c>
      <c r="C45" s="22" t="s">
        <v>1311</v>
      </c>
      <c r="D45" s="302">
        <v>3542834</v>
      </c>
    </row>
    <row r="46" spans="1:4" s="2" customFormat="1" ht="20.100000000000001" customHeight="1">
      <c r="A46" s="11"/>
      <c r="B46" s="302">
        <v>0</v>
      </c>
      <c r="C46" s="22" t="s">
        <v>1313</v>
      </c>
      <c r="D46" s="302">
        <v>3342845</v>
      </c>
    </row>
    <row r="47" spans="1:4" ht="20.100000000000001" customHeight="1">
      <c r="A47" s="11"/>
      <c r="B47" s="302">
        <v>0</v>
      </c>
      <c r="C47" s="9" t="s">
        <v>1405</v>
      </c>
      <c r="D47" s="302">
        <v>884012</v>
      </c>
    </row>
    <row r="48" spans="1:4" ht="20.100000000000001" customHeight="1">
      <c r="A48" s="11"/>
      <c r="B48" s="302">
        <v>0</v>
      </c>
      <c r="C48" s="9" t="s">
        <v>1406</v>
      </c>
      <c r="D48" s="302">
        <v>28870</v>
      </c>
    </row>
    <row r="49" spans="1:4" ht="20.100000000000001" customHeight="1">
      <c r="A49" s="11"/>
      <c r="B49" s="302">
        <v>0</v>
      </c>
      <c r="C49" s="9" t="s">
        <v>1407</v>
      </c>
      <c r="D49" s="302">
        <v>1651966</v>
      </c>
    </row>
    <row r="50" spans="1:4" ht="20.100000000000001" customHeight="1">
      <c r="A50" s="11"/>
      <c r="B50" s="302">
        <v>0</v>
      </c>
      <c r="C50" s="9" t="s">
        <v>1408</v>
      </c>
      <c r="D50" s="302">
        <v>85018</v>
      </c>
    </row>
    <row r="51" spans="1:4" ht="20.100000000000001" customHeight="1">
      <c r="A51" s="11"/>
      <c r="B51" s="302">
        <v>0</v>
      </c>
      <c r="C51" s="9" t="s">
        <v>1409</v>
      </c>
      <c r="D51" s="302">
        <v>6631</v>
      </c>
    </row>
    <row r="52" spans="1:4" ht="20.100000000000001" customHeight="1">
      <c r="A52" s="11"/>
      <c r="B52" s="302">
        <v>0</v>
      </c>
      <c r="C52" s="9" t="s">
        <v>1410</v>
      </c>
      <c r="D52" s="302">
        <v>12202</v>
      </c>
    </row>
    <row r="53" spans="1:4" ht="20.100000000000001" customHeight="1">
      <c r="A53" s="11"/>
      <c r="B53" s="302">
        <v>0</v>
      </c>
      <c r="C53" s="9" t="s">
        <v>1411</v>
      </c>
      <c r="D53" s="302">
        <v>3762</v>
      </c>
    </row>
    <row r="54" spans="1:4" ht="20.100000000000001" customHeight="1">
      <c r="A54" s="11"/>
      <c r="B54" s="302">
        <v>0</v>
      </c>
      <c r="C54" s="9" t="s">
        <v>1412</v>
      </c>
      <c r="D54" s="302">
        <v>210</v>
      </c>
    </row>
    <row r="55" spans="1:4" ht="20.100000000000001" customHeight="1">
      <c r="A55" s="22"/>
      <c r="B55" s="302">
        <v>0</v>
      </c>
      <c r="C55" s="9" t="s">
        <v>1413</v>
      </c>
      <c r="D55" s="302">
        <v>87958</v>
      </c>
    </row>
    <row r="56" spans="1:4" ht="20.100000000000001" customHeight="1">
      <c r="A56" s="22"/>
      <c r="B56" s="302">
        <v>0</v>
      </c>
      <c r="C56" s="9" t="s">
        <v>1414</v>
      </c>
      <c r="D56" s="302">
        <v>9374</v>
      </c>
    </row>
    <row r="57" spans="1:4" ht="20.100000000000001" customHeight="1">
      <c r="A57" s="22"/>
      <c r="B57" s="302">
        <v>0</v>
      </c>
      <c r="C57" s="9" t="s">
        <v>929</v>
      </c>
      <c r="D57" s="302">
        <v>0</v>
      </c>
    </row>
    <row r="58" spans="1:4" ht="20.100000000000001" customHeight="1">
      <c r="A58" s="22"/>
      <c r="B58" s="302">
        <v>0</v>
      </c>
      <c r="C58" s="9" t="s">
        <v>1415</v>
      </c>
      <c r="D58" s="302">
        <v>572842</v>
      </c>
    </row>
    <row r="59" spans="1:4" ht="20.100000000000001" customHeight="1">
      <c r="A59" s="22"/>
      <c r="B59" s="302">
        <v>0</v>
      </c>
      <c r="C59" s="22" t="s">
        <v>1315</v>
      </c>
      <c r="D59" s="302">
        <v>2054</v>
      </c>
    </row>
    <row r="60" spans="1:4" ht="20.100000000000001" customHeight="1">
      <c r="A60" s="22"/>
      <c r="B60" s="302">
        <v>0</v>
      </c>
      <c r="C60" s="9" t="s">
        <v>1405</v>
      </c>
      <c r="D60" s="302">
        <v>1934</v>
      </c>
    </row>
    <row r="61" spans="1:4" ht="20.100000000000001" customHeight="1">
      <c r="A61" s="22"/>
      <c r="B61" s="302">
        <v>0</v>
      </c>
      <c r="C61" s="9" t="s">
        <v>1406</v>
      </c>
      <c r="D61" s="302">
        <v>0</v>
      </c>
    </row>
    <row r="62" spans="1:4" ht="20.100000000000001" customHeight="1">
      <c r="A62" s="22"/>
      <c r="B62" s="302">
        <v>0</v>
      </c>
      <c r="C62" s="9" t="s">
        <v>1416</v>
      </c>
      <c r="D62" s="302">
        <v>120</v>
      </c>
    </row>
    <row r="63" spans="1:4" ht="20.100000000000001" customHeight="1">
      <c r="A63" s="22"/>
      <c r="B63" s="302">
        <v>0</v>
      </c>
      <c r="C63" s="22" t="s">
        <v>1317</v>
      </c>
      <c r="D63" s="302">
        <v>9082</v>
      </c>
    </row>
    <row r="64" spans="1:4" ht="20.100000000000001" customHeight="1">
      <c r="A64" s="22"/>
      <c r="B64" s="302">
        <v>0</v>
      </c>
      <c r="C64" s="22" t="s">
        <v>1319</v>
      </c>
      <c r="D64" s="302">
        <v>153193</v>
      </c>
    </row>
    <row r="65" spans="1:4" ht="20.100000000000001" customHeight="1">
      <c r="A65" s="22"/>
      <c r="B65" s="302">
        <v>0</v>
      </c>
      <c r="C65" s="9" t="s">
        <v>1417</v>
      </c>
      <c r="D65" s="302">
        <v>87889</v>
      </c>
    </row>
    <row r="66" spans="1:4" ht="20.100000000000001" customHeight="1">
      <c r="A66" s="22"/>
      <c r="B66" s="303">
        <v>0</v>
      </c>
      <c r="C66" s="9" t="s">
        <v>1418</v>
      </c>
      <c r="D66" s="302">
        <v>40576</v>
      </c>
    </row>
    <row r="67" spans="1:4" ht="20.100000000000001" customHeight="1">
      <c r="A67" s="22"/>
      <c r="B67" s="302">
        <v>0</v>
      </c>
      <c r="C67" s="9" t="s">
        <v>1419</v>
      </c>
      <c r="D67" s="302">
        <v>0</v>
      </c>
    </row>
    <row r="68" spans="1:4" ht="20.100000000000001" customHeight="1">
      <c r="A68" s="22"/>
      <c r="B68" s="302">
        <v>0</v>
      </c>
      <c r="C68" s="9" t="s">
        <v>1420</v>
      </c>
      <c r="D68" s="302">
        <v>26</v>
      </c>
    </row>
    <row r="69" spans="1:4" ht="20.100000000000001" customHeight="1">
      <c r="A69" s="22"/>
      <c r="B69" s="302">
        <v>0</v>
      </c>
      <c r="C69" s="9" t="s">
        <v>1421</v>
      </c>
      <c r="D69" s="302">
        <v>24702</v>
      </c>
    </row>
    <row r="70" spans="1:4" ht="20.100000000000001" customHeight="1">
      <c r="A70" s="22"/>
      <c r="B70" s="302">
        <v>0</v>
      </c>
      <c r="C70" s="22" t="s">
        <v>1422</v>
      </c>
      <c r="D70" s="302">
        <v>34140</v>
      </c>
    </row>
    <row r="71" spans="1:4" ht="20.100000000000001" customHeight="1">
      <c r="A71" s="22"/>
      <c r="B71" s="302">
        <v>0</v>
      </c>
      <c r="C71" s="22" t="s">
        <v>1423</v>
      </c>
      <c r="D71" s="302">
        <v>12345</v>
      </c>
    </row>
    <row r="72" spans="1:4" ht="20.100000000000001" customHeight="1">
      <c r="A72" s="22"/>
      <c r="B72" s="302">
        <v>0</v>
      </c>
      <c r="C72" s="22" t="s">
        <v>1424</v>
      </c>
      <c r="D72" s="302">
        <v>30</v>
      </c>
    </row>
    <row r="73" spans="1:4" ht="20.100000000000001" customHeight="1">
      <c r="A73" s="22"/>
      <c r="B73" s="302">
        <v>0</v>
      </c>
      <c r="C73" s="22" t="s">
        <v>1425</v>
      </c>
      <c r="D73" s="302">
        <v>21765</v>
      </c>
    </row>
    <row r="74" spans="1:4" ht="20.100000000000001" customHeight="1">
      <c r="A74" s="22"/>
      <c r="B74" s="302">
        <v>0</v>
      </c>
      <c r="C74" s="6" t="s">
        <v>1322</v>
      </c>
      <c r="D74" s="302">
        <v>660</v>
      </c>
    </row>
    <row r="75" spans="1:4" ht="20.100000000000001" customHeight="1">
      <c r="A75" s="22"/>
      <c r="B75" s="302">
        <v>0</v>
      </c>
      <c r="C75" s="10" t="s">
        <v>1405</v>
      </c>
      <c r="D75" s="302">
        <v>0</v>
      </c>
    </row>
    <row r="76" spans="1:4" ht="20.100000000000001" customHeight="1">
      <c r="A76" s="22"/>
      <c r="B76" s="302">
        <v>0</v>
      </c>
      <c r="C76" s="10" t="s">
        <v>1406</v>
      </c>
      <c r="D76" s="302">
        <v>0</v>
      </c>
    </row>
    <row r="77" spans="1:4" ht="20.100000000000001" customHeight="1">
      <c r="A77" s="22"/>
      <c r="B77" s="302">
        <v>0</v>
      </c>
      <c r="C77" s="10" t="s">
        <v>1426</v>
      </c>
      <c r="D77" s="302">
        <v>660</v>
      </c>
    </row>
    <row r="78" spans="1:4" ht="20.100000000000001" customHeight="1">
      <c r="A78" s="22"/>
      <c r="B78" s="302">
        <v>0</v>
      </c>
      <c r="C78" s="6" t="s">
        <v>1323</v>
      </c>
      <c r="D78" s="302">
        <v>860</v>
      </c>
    </row>
    <row r="79" spans="1:4" ht="20.100000000000001" customHeight="1">
      <c r="A79" s="22"/>
      <c r="B79" s="302">
        <v>0</v>
      </c>
      <c r="C79" s="10" t="s">
        <v>1405</v>
      </c>
      <c r="D79" s="302">
        <v>0</v>
      </c>
    </row>
    <row r="80" spans="1:4" ht="20.100000000000001" customHeight="1">
      <c r="A80" s="22"/>
      <c r="B80" s="302">
        <v>0</v>
      </c>
      <c r="C80" s="10" t="s">
        <v>1406</v>
      </c>
      <c r="D80" s="302">
        <v>0</v>
      </c>
    </row>
    <row r="81" spans="1:4" ht="20.100000000000001" customHeight="1">
      <c r="A81" s="22"/>
      <c r="B81" s="302">
        <v>0</v>
      </c>
      <c r="C81" s="10" t="s">
        <v>1427</v>
      </c>
      <c r="D81" s="302">
        <v>860</v>
      </c>
    </row>
    <row r="82" spans="1:4" ht="20.100000000000001" customHeight="1">
      <c r="A82" s="22"/>
      <c r="B82" s="302">
        <v>0</v>
      </c>
      <c r="C82" s="6" t="s">
        <v>1324</v>
      </c>
      <c r="D82" s="302">
        <v>0</v>
      </c>
    </row>
    <row r="83" spans="1:4" ht="20.100000000000001" customHeight="1">
      <c r="A83" s="22"/>
      <c r="B83" s="302">
        <v>0</v>
      </c>
      <c r="C83" s="10" t="s">
        <v>1417</v>
      </c>
      <c r="D83" s="302">
        <v>0</v>
      </c>
    </row>
    <row r="84" spans="1:4" ht="20.100000000000001" customHeight="1">
      <c r="A84" s="22"/>
      <c r="B84" s="302">
        <v>0</v>
      </c>
      <c r="C84" s="10" t="s">
        <v>1418</v>
      </c>
      <c r="D84" s="302">
        <v>0</v>
      </c>
    </row>
    <row r="85" spans="1:4" ht="20.100000000000001" customHeight="1">
      <c r="A85" s="22"/>
      <c r="B85" s="302">
        <v>0</v>
      </c>
      <c r="C85" s="10" t="s">
        <v>1419</v>
      </c>
      <c r="D85" s="302">
        <v>0</v>
      </c>
    </row>
    <row r="86" spans="1:4" ht="20.100000000000001" customHeight="1">
      <c r="A86" s="22"/>
      <c r="B86" s="302">
        <v>0</v>
      </c>
      <c r="C86" s="10" t="s">
        <v>1420</v>
      </c>
      <c r="D86" s="302">
        <v>0</v>
      </c>
    </row>
    <row r="87" spans="1:4" ht="20.100000000000001" customHeight="1">
      <c r="A87" s="22"/>
      <c r="B87" s="302">
        <v>0</v>
      </c>
      <c r="C87" s="10" t="s">
        <v>1428</v>
      </c>
      <c r="D87" s="302">
        <v>0</v>
      </c>
    </row>
    <row r="88" spans="1:4" ht="20.100000000000001" customHeight="1">
      <c r="A88" s="22"/>
      <c r="B88" s="302">
        <v>0</v>
      </c>
      <c r="C88" s="6" t="s">
        <v>1325</v>
      </c>
      <c r="D88" s="302">
        <v>0</v>
      </c>
    </row>
    <row r="89" spans="1:4" ht="20.100000000000001" customHeight="1">
      <c r="A89" s="22"/>
      <c r="B89" s="302">
        <v>0</v>
      </c>
      <c r="C89" s="10" t="s">
        <v>1423</v>
      </c>
      <c r="D89" s="302">
        <v>0</v>
      </c>
    </row>
    <row r="90" spans="1:4" ht="20.100000000000001" customHeight="1">
      <c r="A90" s="22"/>
      <c r="B90" s="302">
        <v>0</v>
      </c>
      <c r="C90" s="10" t="s">
        <v>1429</v>
      </c>
      <c r="D90" s="302">
        <v>0</v>
      </c>
    </row>
    <row r="91" spans="1:4" ht="20.100000000000001" customHeight="1">
      <c r="A91" s="22"/>
      <c r="B91" s="302">
        <v>0</v>
      </c>
      <c r="C91" s="10" t="s">
        <v>1326</v>
      </c>
      <c r="D91" s="302">
        <v>0</v>
      </c>
    </row>
    <row r="92" spans="1:4" ht="20.100000000000001" customHeight="1">
      <c r="A92" s="22"/>
      <c r="B92" s="302">
        <v>0</v>
      </c>
      <c r="C92" s="10" t="s">
        <v>1405</v>
      </c>
      <c r="D92" s="302">
        <v>0</v>
      </c>
    </row>
    <row r="93" spans="1:4" ht="20.100000000000001" customHeight="1">
      <c r="A93" s="22"/>
      <c r="B93" s="302">
        <v>0</v>
      </c>
      <c r="C93" s="10" t="s">
        <v>1406</v>
      </c>
      <c r="D93" s="302">
        <v>0</v>
      </c>
    </row>
    <row r="94" spans="1:4" ht="20.100000000000001" customHeight="1">
      <c r="A94" s="22"/>
      <c r="B94" s="302">
        <v>0</v>
      </c>
      <c r="C94" s="10" t="s">
        <v>1407</v>
      </c>
      <c r="D94" s="302">
        <v>0</v>
      </c>
    </row>
    <row r="95" spans="1:4" ht="20.100000000000001" customHeight="1">
      <c r="A95" s="22"/>
      <c r="B95" s="302">
        <v>0</v>
      </c>
      <c r="C95" s="10" t="s">
        <v>1408</v>
      </c>
      <c r="D95" s="302">
        <v>0</v>
      </c>
    </row>
    <row r="96" spans="1:4" ht="20.100000000000001" customHeight="1">
      <c r="A96" s="22"/>
      <c r="B96" s="302">
        <v>0</v>
      </c>
      <c r="C96" s="10" t="s">
        <v>1411</v>
      </c>
      <c r="D96" s="302">
        <v>0</v>
      </c>
    </row>
    <row r="97" spans="1:4" ht="20.100000000000001" customHeight="1">
      <c r="A97" s="22"/>
      <c r="B97" s="302">
        <v>0</v>
      </c>
      <c r="C97" s="10" t="s">
        <v>1413</v>
      </c>
      <c r="D97" s="302">
        <v>0</v>
      </c>
    </row>
    <row r="98" spans="1:4" ht="20.100000000000001" customHeight="1">
      <c r="A98" s="22"/>
      <c r="B98" s="302">
        <v>0</v>
      </c>
      <c r="C98" s="10" t="s">
        <v>1414</v>
      </c>
      <c r="D98" s="302">
        <v>0</v>
      </c>
    </row>
    <row r="99" spans="1:4" ht="20.100000000000001" customHeight="1">
      <c r="A99" s="22"/>
      <c r="B99" s="302">
        <v>0</v>
      </c>
      <c r="C99" s="10" t="s">
        <v>1430</v>
      </c>
      <c r="D99" s="302">
        <v>0</v>
      </c>
    </row>
    <row r="100" spans="1:4" ht="20.100000000000001" customHeight="1">
      <c r="A100" s="22"/>
      <c r="B100" s="302">
        <v>0</v>
      </c>
      <c r="C100" s="22" t="s">
        <v>1327</v>
      </c>
      <c r="D100" s="302">
        <v>3</v>
      </c>
    </row>
    <row r="101" spans="1:4" ht="20.100000000000001" customHeight="1">
      <c r="A101" s="22"/>
      <c r="B101" s="302">
        <v>0</v>
      </c>
      <c r="C101" s="9" t="s">
        <v>1328</v>
      </c>
      <c r="D101" s="302">
        <v>3</v>
      </c>
    </row>
    <row r="102" spans="1:4" ht="20.100000000000001" customHeight="1">
      <c r="A102" s="22"/>
      <c r="B102" s="302">
        <v>0</v>
      </c>
      <c r="C102" s="9" t="s">
        <v>1388</v>
      </c>
      <c r="D102" s="302">
        <v>0</v>
      </c>
    </row>
    <row r="103" spans="1:4" ht="20.100000000000001" customHeight="1">
      <c r="A103" s="22"/>
      <c r="B103" s="302">
        <v>0</v>
      </c>
      <c r="C103" s="9" t="s">
        <v>1431</v>
      </c>
      <c r="D103" s="302">
        <v>3</v>
      </c>
    </row>
    <row r="104" spans="1:4" ht="20.100000000000001" customHeight="1">
      <c r="A104" s="22"/>
      <c r="B104" s="302">
        <v>0</v>
      </c>
      <c r="C104" s="9" t="s">
        <v>1432</v>
      </c>
      <c r="D104" s="302">
        <v>0</v>
      </c>
    </row>
    <row r="105" spans="1:4" ht="20.100000000000001" customHeight="1">
      <c r="A105" s="22"/>
      <c r="B105" s="302">
        <v>0</v>
      </c>
      <c r="C105" s="9" t="s">
        <v>1433</v>
      </c>
      <c r="D105" s="302">
        <v>0</v>
      </c>
    </row>
    <row r="106" spans="1:4" ht="20.100000000000001" customHeight="1">
      <c r="A106" s="22"/>
      <c r="B106" s="302">
        <v>0</v>
      </c>
      <c r="C106" s="9" t="s">
        <v>1329</v>
      </c>
      <c r="D106" s="302">
        <v>0</v>
      </c>
    </row>
    <row r="107" spans="1:4" ht="20.100000000000001" customHeight="1">
      <c r="A107" s="22"/>
      <c r="B107" s="302">
        <v>0</v>
      </c>
      <c r="C107" s="9" t="s">
        <v>1388</v>
      </c>
      <c r="D107" s="302">
        <v>0</v>
      </c>
    </row>
    <row r="108" spans="1:4" ht="20.100000000000001" customHeight="1">
      <c r="A108" s="22"/>
      <c r="B108" s="302">
        <v>0</v>
      </c>
      <c r="C108" s="9" t="s">
        <v>1431</v>
      </c>
      <c r="D108" s="302">
        <v>0</v>
      </c>
    </row>
    <row r="109" spans="1:4" ht="20.100000000000001" customHeight="1">
      <c r="A109" s="22"/>
      <c r="B109" s="302">
        <v>0</v>
      </c>
      <c r="C109" s="9" t="s">
        <v>1434</v>
      </c>
      <c r="D109" s="302">
        <v>0</v>
      </c>
    </row>
    <row r="110" spans="1:4" ht="20.100000000000001" customHeight="1">
      <c r="A110" s="22"/>
      <c r="B110" s="302">
        <v>0</v>
      </c>
      <c r="C110" s="9" t="s">
        <v>1435</v>
      </c>
      <c r="D110" s="302">
        <v>0</v>
      </c>
    </row>
    <row r="111" spans="1:4" ht="20.100000000000001" customHeight="1">
      <c r="A111" s="22"/>
      <c r="B111" s="302">
        <v>0</v>
      </c>
      <c r="C111" s="9" t="s">
        <v>1330</v>
      </c>
      <c r="D111" s="302">
        <v>0</v>
      </c>
    </row>
    <row r="112" spans="1:4" ht="20.100000000000001" customHeight="1">
      <c r="A112" s="22"/>
      <c r="B112" s="302">
        <v>0</v>
      </c>
      <c r="C112" s="9" t="s">
        <v>708</v>
      </c>
      <c r="D112" s="302">
        <v>0</v>
      </c>
    </row>
    <row r="113" spans="1:4" ht="20.100000000000001" customHeight="1">
      <c r="A113" s="22"/>
      <c r="B113" s="302">
        <v>0</v>
      </c>
      <c r="C113" s="9" t="s">
        <v>1436</v>
      </c>
      <c r="D113" s="302">
        <v>0</v>
      </c>
    </row>
    <row r="114" spans="1:4" ht="20.100000000000001" customHeight="1">
      <c r="A114" s="22"/>
      <c r="B114" s="302">
        <v>0</v>
      </c>
      <c r="C114" s="9" t="s">
        <v>1437</v>
      </c>
      <c r="D114" s="302">
        <v>0</v>
      </c>
    </row>
    <row r="115" spans="1:4" ht="20.100000000000001" customHeight="1">
      <c r="A115" s="22"/>
      <c r="B115" s="302">
        <v>0</v>
      </c>
      <c r="C115" s="9" t="s">
        <v>1438</v>
      </c>
      <c r="D115" s="302">
        <v>0</v>
      </c>
    </row>
    <row r="116" spans="1:4" ht="20.100000000000001" customHeight="1">
      <c r="A116" s="22"/>
      <c r="B116" s="302">
        <v>0</v>
      </c>
      <c r="C116" s="11" t="s">
        <v>1333</v>
      </c>
      <c r="D116" s="302">
        <v>30046</v>
      </c>
    </row>
    <row r="117" spans="1:4" ht="20.100000000000001" customHeight="1">
      <c r="A117" s="22"/>
      <c r="B117" s="302">
        <v>0</v>
      </c>
      <c r="C117" s="9" t="s">
        <v>1334</v>
      </c>
      <c r="D117" s="302">
        <v>0</v>
      </c>
    </row>
    <row r="118" spans="1:4" ht="20.100000000000001" customHeight="1">
      <c r="A118" s="22"/>
      <c r="B118" s="302">
        <v>0</v>
      </c>
      <c r="C118" s="9" t="s">
        <v>741</v>
      </c>
      <c r="D118" s="302">
        <v>0</v>
      </c>
    </row>
    <row r="119" spans="1:4" ht="20.100000000000001" customHeight="1">
      <c r="A119" s="22"/>
      <c r="B119" s="302">
        <v>0</v>
      </c>
      <c r="C119" s="9" t="s">
        <v>742</v>
      </c>
      <c r="D119" s="302">
        <v>0</v>
      </c>
    </row>
    <row r="120" spans="1:4" ht="20.100000000000001" customHeight="1">
      <c r="A120" s="22"/>
      <c r="B120" s="302">
        <v>0</v>
      </c>
      <c r="C120" s="9" t="s">
        <v>1439</v>
      </c>
      <c r="D120" s="302">
        <v>0</v>
      </c>
    </row>
    <row r="121" spans="1:4" ht="20.100000000000001" customHeight="1">
      <c r="A121" s="22"/>
      <c r="B121" s="302">
        <v>0</v>
      </c>
      <c r="C121" s="9" t="s">
        <v>1440</v>
      </c>
      <c r="D121" s="302">
        <v>0</v>
      </c>
    </row>
    <row r="122" spans="1:4" ht="20.100000000000001" customHeight="1">
      <c r="A122" s="22"/>
      <c r="B122" s="302">
        <v>0</v>
      </c>
      <c r="C122" s="9" t="s">
        <v>1335</v>
      </c>
      <c r="D122" s="302">
        <v>30000</v>
      </c>
    </row>
    <row r="123" spans="1:4" ht="20.100000000000001" customHeight="1">
      <c r="A123" s="22"/>
      <c r="B123" s="302">
        <v>0</v>
      </c>
      <c r="C123" s="9" t="s">
        <v>1439</v>
      </c>
      <c r="D123" s="302">
        <v>0</v>
      </c>
    </row>
    <row r="124" spans="1:4" ht="20.100000000000001" customHeight="1">
      <c r="A124" s="22"/>
      <c r="B124" s="302">
        <v>0</v>
      </c>
      <c r="C124" s="9" t="s">
        <v>1441</v>
      </c>
      <c r="D124" s="302">
        <v>12000</v>
      </c>
    </row>
    <row r="125" spans="1:4" ht="20.100000000000001" customHeight="1">
      <c r="A125" s="22"/>
      <c r="B125" s="302">
        <v>0</v>
      </c>
      <c r="C125" s="9" t="s">
        <v>1442</v>
      </c>
      <c r="D125" s="302">
        <v>8000</v>
      </c>
    </row>
    <row r="126" spans="1:4" ht="20.100000000000001" customHeight="1">
      <c r="A126" s="22"/>
      <c r="B126" s="302">
        <v>0</v>
      </c>
      <c r="C126" s="9" t="s">
        <v>1443</v>
      </c>
      <c r="D126" s="302">
        <v>10000</v>
      </c>
    </row>
    <row r="127" spans="1:4" ht="20.100000000000001" customHeight="1">
      <c r="A127" s="22"/>
      <c r="B127" s="302">
        <v>0</v>
      </c>
      <c r="C127" s="9" t="s">
        <v>1336</v>
      </c>
      <c r="D127" s="302">
        <v>0</v>
      </c>
    </row>
    <row r="128" spans="1:4" ht="20.100000000000001" customHeight="1">
      <c r="A128" s="22"/>
      <c r="B128" s="302">
        <v>0</v>
      </c>
      <c r="C128" s="9" t="s">
        <v>748</v>
      </c>
      <c r="D128" s="302">
        <v>0</v>
      </c>
    </row>
    <row r="129" spans="1:4" ht="20.100000000000001" customHeight="1">
      <c r="A129" s="22"/>
      <c r="B129" s="302">
        <v>0</v>
      </c>
      <c r="C129" s="9" t="s">
        <v>1444</v>
      </c>
      <c r="D129" s="302">
        <v>0</v>
      </c>
    </row>
    <row r="130" spans="1:4" ht="20.100000000000001" customHeight="1">
      <c r="A130" s="22"/>
      <c r="B130" s="302">
        <v>0</v>
      </c>
      <c r="C130" s="9" t="s">
        <v>1445</v>
      </c>
      <c r="D130" s="302">
        <v>0</v>
      </c>
    </row>
    <row r="131" spans="1:4" ht="20.100000000000001" customHeight="1">
      <c r="A131" s="22"/>
      <c r="B131" s="302">
        <v>0</v>
      </c>
      <c r="C131" s="9" t="s">
        <v>1446</v>
      </c>
      <c r="D131" s="302">
        <v>0</v>
      </c>
    </row>
    <row r="132" spans="1:4" ht="20.100000000000001" customHeight="1">
      <c r="A132" s="22"/>
      <c r="B132" s="302">
        <v>0</v>
      </c>
      <c r="C132" s="9" t="s">
        <v>1337</v>
      </c>
      <c r="D132" s="302">
        <v>0</v>
      </c>
    </row>
    <row r="133" spans="1:4" ht="20.100000000000001" customHeight="1">
      <c r="A133" s="22"/>
      <c r="B133" s="302">
        <v>0</v>
      </c>
      <c r="C133" s="9" t="s">
        <v>1447</v>
      </c>
      <c r="D133" s="302">
        <v>0</v>
      </c>
    </row>
    <row r="134" spans="1:4" ht="20.100000000000001" customHeight="1">
      <c r="A134" s="22"/>
      <c r="B134" s="302">
        <v>0</v>
      </c>
      <c r="C134" s="9" t="s">
        <v>1448</v>
      </c>
      <c r="D134" s="302">
        <v>0</v>
      </c>
    </row>
    <row r="135" spans="1:4" ht="20.100000000000001" customHeight="1">
      <c r="A135" s="22"/>
      <c r="B135" s="302">
        <v>0</v>
      </c>
      <c r="C135" s="9" t="s">
        <v>1449</v>
      </c>
      <c r="D135" s="302">
        <v>0</v>
      </c>
    </row>
    <row r="136" spans="1:4" ht="20.100000000000001" customHeight="1">
      <c r="A136" s="22"/>
      <c r="B136" s="302">
        <v>0</v>
      </c>
      <c r="C136" s="9" t="s">
        <v>1450</v>
      </c>
      <c r="D136" s="302">
        <v>0</v>
      </c>
    </row>
    <row r="137" spans="1:4" ht="20.100000000000001" customHeight="1">
      <c r="A137" s="22"/>
      <c r="B137" s="302">
        <v>0</v>
      </c>
      <c r="C137" s="9" t="s">
        <v>1451</v>
      </c>
      <c r="D137" s="302">
        <v>0</v>
      </c>
    </row>
    <row r="138" spans="1:4" ht="20.100000000000001" customHeight="1">
      <c r="A138" s="22"/>
      <c r="B138" s="302">
        <v>0</v>
      </c>
      <c r="C138" s="9" t="s">
        <v>1452</v>
      </c>
      <c r="D138" s="302">
        <v>0</v>
      </c>
    </row>
    <row r="139" spans="1:4" ht="20.100000000000001" customHeight="1">
      <c r="A139" s="22"/>
      <c r="B139" s="302">
        <v>0</v>
      </c>
      <c r="C139" s="9" t="s">
        <v>1453</v>
      </c>
      <c r="D139" s="302">
        <v>0</v>
      </c>
    </row>
    <row r="140" spans="1:4" ht="20.100000000000001" customHeight="1">
      <c r="A140" s="22"/>
      <c r="B140" s="302">
        <v>0</v>
      </c>
      <c r="C140" s="9" t="s">
        <v>1454</v>
      </c>
      <c r="D140" s="302">
        <v>0</v>
      </c>
    </row>
    <row r="141" spans="1:4" ht="20.100000000000001" customHeight="1">
      <c r="A141" s="22"/>
      <c r="B141" s="302">
        <v>0</v>
      </c>
      <c r="C141" s="9" t="s">
        <v>1338</v>
      </c>
      <c r="D141" s="302">
        <v>0</v>
      </c>
    </row>
    <row r="142" spans="1:4" ht="20.100000000000001" customHeight="1">
      <c r="A142" s="22"/>
      <c r="B142" s="302">
        <v>0</v>
      </c>
      <c r="C142" s="9" t="s">
        <v>1455</v>
      </c>
      <c r="D142" s="302">
        <v>0</v>
      </c>
    </row>
    <row r="143" spans="1:4" ht="20.100000000000001" customHeight="1">
      <c r="A143" s="22"/>
      <c r="B143" s="302">
        <v>0</v>
      </c>
      <c r="C143" s="9" t="s">
        <v>1456</v>
      </c>
      <c r="D143" s="302">
        <v>0</v>
      </c>
    </row>
    <row r="144" spans="1:4" ht="20.100000000000001" customHeight="1">
      <c r="A144" s="22"/>
      <c r="B144" s="302">
        <v>0</v>
      </c>
      <c r="C144" s="9" t="s">
        <v>1457</v>
      </c>
      <c r="D144" s="302">
        <v>0</v>
      </c>
    </row>
    <row r="145" spans="1:4" ht="20.100000000000001" customHeight="1">
      <c r="A145" s="22"/>
      <c r="B145" s="302">
        <v>0</v>
      </c>
      <c r="C145" s="9" t="s">
        <v>1458</v>
      </c>
      <c r="D145" s="302">
        <v>0</v>
      </c>
    </row>
    <row r="146" spans="1:4" ht="20.100000000000001" customHeight="1">
      <c r="A146" s="22"/>
      <c r="B146" s="302">
        <v>0</v>
      </c>
      <c r="C146" s="9" t="s">
        <v>1459</v>
      </c>
      <c r="D146" s="302">
        <v>0</v>
      </c>
    </row>
    <row r="147" spans="1:4" ht="20.100000000000001" customHeight="1">
      <c r="A147" s="22"/>
      <c r="B147" s="302">
        <v>0</v>
      </c>
      <c r="C147" s="9" t="s">
        <v>1460</v>
      </c>
      <c r="D147" s="302">
        <v>0</v>
      </c>
    </row>
    <row r="148" spans="1:4" ht="20.100000000000001" customHeight="1">
      <c r="A148" s="22"/>
      <c r="B148" s="302">
        <v>0</v>
      </c>
      <c r="C148" s="9" t="s">
        <v>1339</v>
      </c>
      <c r="D148" s="302">
        <v>46</v>
      </c>
    </row>
    <row r="149" spans="1:4" ht="20.100000000000001" customHeight="1">
      <c r="A149" s="22"/>
      <c r="B149" s="302">
        <v>0</v>
      </c>
      <c r="C149" s="9" t="s">
        <v>1461</v>
      </c>
      <c r="D149" s="302">
        <v>0</v>
      </c>
    </row>
    <row r="150" spans="1:4" ht="20.100000000000001" customHeight="1">
      <c r="A150" s="22"/>
      <c r="B150" s="302">
        <v>0</v>
      </c>
      <c r="C150" s="9" t="s">
        <v>769</v>
      </c>
      <c r="D150" s="302">
        <v>0</v>
      </c>
    </row>
    <row r="151" spans="1:4" ht="20.100000000000001" customHeight="1">
      <c r="A151" s="22"/>
      <c r="B151" s="302">
        <v>0</v>
      </c>
      <c r="C151" s="9" t="s">
        <v>1462</v>
      </c>
      <c r="D151" s="302">
        <v>0</v>
      </c>
    </row>
    <row r="152" spans="1:4" ht="20.100000000000001" customHeight="1">
      <c r="A152" s="22"/>
      <c r="B152" s="302">
        <v>0</v>
      </c>
      <c r="C152" s="9" t="s">
        <v>1463</v>
      </c>
      <c r="D152" s="302">
        <v>0</v>
      </c>
    </row>
    <row r="153" spans="1:4" ht="20.100000000000001" customHeight="1">
      <c r="A153" s="22"/>
      <c r="B153" s="302">
        <v>0</v>
      </c>
      <c r="C153" s="9" t="s">
        <v>1464</v>
      </c>
      <c r="D153" s="302">
        <v>0</v>
      </c>
    </row>
    <row r="154" spans="1:4" ht="20.100000000000001" customHeight="1">
      <c r="A154" s="22"/>
      <c r="B154" s="302">
        <v>0</v>
      </c>
      <c r="C154" s="9" t="s">
        <v>1465</v>
      </c>
      <c r="D154" s="302">
        <v>0</v>
      </c>
    </row>
    <row r="155" spans="1:4" ht="20.100000000000001" customHeight="1">
      <c r="A155" s="22"/>
      <c r="B155" s="302">
        <v>0</v>
      </c>
      <c r="C155" s="9" t="s">
        <v>1466</v>
      </c>
      <c r="D155" s="302">
        <v>0</v>
      </c>
    </row>
    <row r="156" spans="1:4" ht="20.100000000000001" customHeight="1">
      <c r="A156" s="22"/>
      <c r="B156" s="302">
        <v>0</v>
      </c>
      <c r="C156" s="9" t="s">
        <v>1467</v>
      </c>
      <c r="D156" s="302">
        <v>46</v>
      </c>
    </row>
    <row r="157" spans="1:4" ht="20.100000000000001" customHeight="1">
      <c r="A157" s="22"/>
      <c r="B157" s="302">
        <v>0</v>
      </c>
      <c r="C157" s="9" t="s">
        <v>1340</v>
      </c>
      <c r="D157" s="302">
        <v>0</v>
      </c>
    </row>
    <row r="158" spans="1:4" ht="20.100000000000001" customHeight="1">
      <c r="A158" s="22"/>
      <c r="B158" s="302">
        <v>0</v>
      </c>
      <c r="C158" s="10" t="s">
        <v>741</v>
      </c>
      <c r="D158" s="302">
        <v>0</v>
      </c>
    </row>
    <row r="159" spans="1:4" ht="20.100000000000001" customHeight="1">
      <c r="A159" s="22"/>
      <c r="B159" s="302">
        <v>0</v>
      </c>
      <c r="C159" s="10" t="s">
        <v>1468</v>
      </c>
      <c r="D159" s="302">
        <v>0</v>
      </c>
    </row>
    <row r="160" spans="1:4" ht="20.100000000000001" customHeight="1">
      <c r="A160" s="22"/>
      <c r="B160" s="302">
        <v>0</v>
      </c>
      <c r="C160" s="9" t="s">
        <v>1341</v>
      </c>
      <c r="D160" s="302">
        <v>0</v>
      </c>
    </row>
    <row r="161" spans="1:4" ht="20.100000000000001" customHeight="1">
      <c r="A161" s="22"/>
      <c r="B161" s="302">
        <v>0</v>
      </c>
      <c r="C161" s="10" t="s">
        <v>741</v>
      </c>
      <c r="D161" s="302">
        <v>0</v>
      </c>
    </row>
    <row r="162" spans="1:4" ht="20.100000000000001" customHeight="1">
      <c r="A162" s="22"/>
      <c r="B162" s="302">
        <v>0</v>
      </c>
      <c r="C162" s="10" t="s">
        <v>1469</v>
      </c>
      <c r="D162" s="302">
        <v>0</v>
      </c>
    </row>
    <row r="163" spans="1:4" ht="20.100000000000001" customHeight="1">
      <c r="A163" s="22"/>
      <c r="B163" s="302">
        <v>0</v>
      </c>
      <c r="C163" s="9" t="s">
        <v>1342</v>
      </c>
      <c r="D163" s="302">
        <v>0</v>
      </c>
    </row>
    <row r="164" spans="1:4" ht="20.100000000000001" customHeight="1">
      <c r="A164" s="22"/>
      <c r="B164" s="302">
        <v>0</v>
      </c>
      <c r="C164" s="9" t="s">
        <v>1343</v>
      </c>
      <c r="D164" s="302">
        <v>0</v>
      </c>
    </row>
    <row r="165" spans="1:4" ht="20.100000000000001" customHeight="1">
      <c r="A165" s="22"/>
      <c r="B165" s="302">
        <v>0</v>
      </c>
      <c r="C165" s="10" t="s">
        <v>748</v>
      </c>
      <c r="D165" s="302">
        <v>0</v>
      </c>
    </row>
    <row r="166" spans="1:4" ht="20.100000000000001" customHeight="1">
      <c r="A166" s="22"/>
      <c r="B166" s="302">
        <v>0</v>
      </c>
      <c r="C166" s="10" t="s">
        <v>1445</v>
      </c>
      <c r="D166" s="302">
        <v>0</v>
      </c>
    </row>
    <row r="167" spans="1:4" ht="20.100000000000001" customHeight="1">
      <c r="A167" s="22"/>
      <c r="B167" s="302">
        <v>0</v>
      </c>
      <c r="C167" s="10" t="s">
        <v>1470</v>
      </c>
      <c r="D167" s="302">
        <v>0</v>
      </c>
    </row>
    <row r="168" spans="1:4" ht="20.100000000000001" customHeight="1">
      <c r="A168" s="22"/>
      <c r="B168" s="302">
        <v>0</v>
      </c>
      <c r="C168" s="11" t="s">
        <v>1344</v>
      </c>
      <c r="D168" s="302">
        <v>0</v>
      </c>
    </row>
    <row r="169" spans="1:4" ht="20.100000000000001" customHeight="1">
      <c r="A169" s="22"/>
      <c r="B169" s="302">
        <v>0</v>
      </c>
      <c r="C169" s="9" t="s">
        <v>1345</v>
      </c>
      <c r="D169" s="302">
        <v>0</v>
      </c>
    </row>
    <row r="170" spans="1:4" ht="20.100000000000001" customHeight="1">
      <c r="A170" s="22"/>
      <c r="B170" s="302">
        <v>0</v>
      </c>
      <c r="C170" s="9" t="s">
        <v>1471</v>
      </c>
      <c r="D170" s="302">
        <v>0</v>
      </c>
    </row>
    <row r="171" spans="1:4" ht="20.100000000000001" customHeight="1">
      <c r="A171" s="22"/>
      <c r="B171" s="302">
        <v>0</v>
      </c>
      <c r="C171" s="9" t="s">
        <v>1472</v>
      </c>
      <c r="D171" s="302">
        <v>0</v>
      </c>
    </row>
    <row r="172" spans="1:4" ht="20.100000000000001" customHeight="1">
      <c r="A172" s="22"/>
      <c r="B172" s="302">
        <v>0</v>
      </c>
      <c r="C172" s="11" t="s">
        <v>1346</v>
      </c>
      <c r="D172" s="302">
        <v>363918</v>
      </c>
    </row>
    <row r="173" spans="1:4" ht="20.100000000000001" customHeight="1">
      <c r="A173" s="22"/>
      <c r="B173" s="302">
        <v>0</v>
      </c>
      <c r="C173" s="9" t="s">
        <v>1347</v>
      </c>
      <c r="D173" s="302">
        <v>208842</v>
      </c>
    </row>
    <row r="174" spans="1:4" ht="20.100000000000001" customHeight="1">
      <c r="A174" s="22"/>
      <c r="B174" s="302">
        <v>0</v>
      </c>
      <c r="C174" s="9" t="s">
        <v>1473</v>
      </c>
      <c r="D174" s="302">
        <v>522</v>
      </c>
    </row>
    <row r="175" spans="1:4" ht="20.100000000000001" customHeight="1">
      <c r="A175" s="22"/>
      <c r="B175" s="302">
        <v>0</v>
      </c>
      <c r="C175" s="9" t="s">
        <v>1474</v>
      </c>
      <c r="D175" s="302">
        <v>208269</v>
      </c>
    </row>
    <row r="176" spans="1:4" ht="20.100000000000001" customHeight="1">
      <c r="A176" s="22"/>
      <c r="B176" s="302">
        <v>0</v>
      </c>
      <c r="C176" s="9" t="s">
        <v>1475</v>
      </c>
      <c r="D176" s="302">
        <v>51</v>
      </c>
    </row>
    <row r="177" spans="1:4" ht="20.100000000000001" customHeight="1">
      <c r="A177" s="22"/>
      <c r="B177" s="302">
        <v>0</v>
      </c>
      <c r="C177" s="9" t="s">
        <v>1348</v>
      </c>
      <c r="D177" s="302">
        <v>27784</v>
      </c>
    </row>
    <row r="178" spans="1:4" ht="20.100000000000001" customHeight="1">
      <c r="A178" s="22"/>
      <c r="B178" s="302">
        <v>0</v>
      </c>
      <c r="C178" s="9" t="s">
        <v>1476</v>
      </c>
      <c r="D178" s="302">
        <v>11449</v>
      </c>
    </row>
    <row r="179" spans="1:4" ht="20.100000000000001" customHeight="1">
      <c r="A179" s="22"/>
      <c r="B179" s="302">
        <v>0</v>
      </c>
      <c r="C179" s="9" t="s">
        <v>1477</v>
      </c>
      <c r="D179" s="302">
        <v>3000</v>
      </c>
    </row>
    <row r="180" spans="1:4" ht="20.100000000000001" customHeight="1">
      <c r="A180" s="22"/>
      <c r="B180" s="302">
        <v>0</v>
      </c>
      <c r="C180" s="9" t="s">
        <v>1478</v>
      </c>
      <c r="D180" s="302">
        <v>5972</v>
      </c>
    </row>
    <row r="181" spans="1:4" ht="20.100000000000001" customHeight="1">
      <c r="A181" s="22"/>
      <c r="B181" s="302">
        <v>0</v>
      </c>
      <c r="C181" s="9" t="s">
        <v>1479</v>
      </c>
      <c r="D181" s="302">
        <v>1200</v>
      </c>
    </row>
    <row r="182" spans="1:4" ht="20.100000000000001" customHeight="1">
      <c r="A182" s="22"/>
      <c r="B182" s="302">
        <v>0</v>
      </c>
      <c r="C182" s="9" t="s">
        <v>1480</v>
      </c>
      <c r="D182" s="302">
        <v>0</v>
      </c>
    </row>
    <row r="183" spans="1:4" ht="20.100000000000001" customHeight="1">
      <c r="A183" s="22"/>
      <c r="B183" s="302">
        <v>0</v>
      </c>
      <c r="C183" s="9" t="s">
        <v>1481</v>
      </c>
      <c r="D183" s="302">
        <v>0</v>
      </c>
    </row>
    <row r="184" spans="1:4" ht="20.100000000000001" customHeight="1">
      <c r="A184" s="22"/>
      <c r="B184" s="302">
        <v>0</v>
      </c>
      <c r="C184" s="9" t="s">
        <v>1482</v>
      </c>
      <c r="D184" s="302">
        <v>4363</v>
      </c>
    </row>
    <row r="185" spans="1:4" ht="20.100000000000001" customHeight="1">
      <c r="A185" s="22"/>
      <c r="B185" s="302">
        <v>0</v>
      </c>
      <c r="C185" s="9" t="s">
        <v>1483</v>
      </c>
      <c r="D185" s="302">
        <v>1800</v>
      </c>
    </row>
    <row r="186" spans="1:4" ht="20.100000000000001" customHeight="1">
      <c r="A186" s="22"/>
      <c r="B186" s="302">
        <v>0</v>
      </c>
      <c r="C186" s="9" t="s">
        <v>1349</v>
      </c>
      <c r="D186" s="302">
        <v>127292</v>
      </c>
    </row>
    <row r="187" spans="1:4" ht="20.100000000000001" customHeight="1">
      <c r="A187" s="22"/>
      <c r="B187" s="302">
        <v>0</v>
      </c>
      <c r="C187" s="9" t="s">
        <v>1484</v>
      </c>
      <c r="D187" s="302">
        <v>61482.1</v>
      </c>
    </row>
    <row r="188" spans="1:4" ht="20.100000000000001" customHeight="1">
      <c r="A188" s="22"/>
      <c r="B188" s="302">
        <v>0</v>
      </c>
      <c r="C188" s="9" t="s">
        <v>1485</v>
      </c>
      <c r="D188" s="302">
        <v>18097</v>
      </c>
    </row>
    <row r="189" spans="1:4" ht="20.100000000000001" customHeight="1">
      <c r="A189" s="22"/>
      <c r="B189" s="302">
        <v>0</v>
      </c>
      <c r="C189" s="9" t="s">
        <v>1486</v>
      </c>
      <c r="D189" s="302">
        <v>2518</v>
      </c>
    </row>
    <row r="190" spans="1:4" ht="20.100000000000001" customHeight="1">
      <c r="A190" s="22"/>
      <c r="B190" s="302">
        <v>0</v>
      </c>
      <c r="C190" s="9" t="s">
        <v>1487</v>
      </c>
      <c r="D190" s="302">
        <v>0</v>
      </c>
    </row>
    <row r="191" spans="1:4" ht="20.100000000000001" customHeight="1">
      <c r="A191" s="22"/>
      <c r="B191" s="302">
        <v>0</v>
      </c>
      <c r="C191" s="9" t="s">
        <v>1488</v>
      </c>
      <c r="D191" s="302">
        <v>3893.9</v>
      </c>
    </row>
    <row r="192" spans="1:4" ht="20.100000000000001" customHeight="1">
      <c r="A192" s="22"/>
      <c r="B192" s="302">
        <v>0</v>
      </c>
      <c r="C192" s="9" t="s">
        <v>1489</v>
      </c>
      <c r="D192" s="302">
        <v>1638</v>
      </c>
    </row>
    <row r="193" spans="1:4" ht="20.100000000000001" customHeight="1">
      <c r="A193" s="22"/>
      <c r="B193" s="302">
        <v>0</v>
      </c>
      <c r="C193" s="9" t="s">
        <v>1490</v>
      </c>
      <c r="D193" s="302">
        <v>224</v>
      </c>
    </row>
    <row r="194" spans="1:4" ht="20.100000000000001" customHeight="1">
      <c r="A194" s="22"/>
      <c r="B194" s="302">
        <v>0</v>
      </c>
      <c r="C194" s="9" t="s">
        <v>1491</v>
      </c>
      <c r="D194" s="302">
        <v>0</v>
      </c>
    </row>
    <row r="195" spans="1:4" ht="20.100000000000001" customHeight="1">
      <c r="A195" s="22"/>
      <c r="B195" s="302">
        <v>0</v>
      </c>
      <c r="C195" s="9" t="s">
        <v>1492</v>
      </c>
      <c r="D195" s="302">
        <v>757</v>
      </c>
    </row>
    <row r="196" spans="1:4" ht="20.100000000000001" customHeight="1">
      <c r="A196" s="22"/>
      <c r="B196" s="302">
        <v>0</v>
      </c>
      <c r="C196" s="9" t="s">
        <v>1493</v>
      </c>
      <c r="D196" s="302">
        <v>38682</v>
      </c>
    </row>
    <row r="197" spans="1:4" ht="20.100000000000001" customHeight="1">
      <c r="A197" s="22"/>
      <c r="B197" s="302">
        <v>0</v>
      </c>
      <c r="C197" s="11" t="s">
        <v>1350</v>
      </c>
      <c r="D197" s="302">
        <v>787002</v>
      </c>
    </row>
    <row r="198" spans="1:4" ht="20.100000000000001" customHeight="1">
      <c r="A198" s="22"/>
      <c r="B198" s="302">
        <v>0</v>
      </c>
      <c r="C198" s="11" t="s">
        <v>1494</v>
      </c>
      <c r="D198" s="302">
        <v>0</v>
      </c>
    </row>
    <row r="199" spans="1:4" ht="20.100000000000001" customHeight="1">
      <c r="A199" s="22"/>
      <c r="B199" s="302">
        <v>0</v>
      </c>
      <c r="C199" s="11" t="s">
        <v>1495</v>
      </c>
      <c r="D199" s="302">
        <v>0</v>
      </c>
    </row>
    <row r="200" spans="1:4" ht="20.100000000000001" customHeight="1">
      <c r="A200" s="22"/>
      <c r="B200" s="302">
        <v>0</v>
      </c>
      <c r="C200" s="11" t="s">
        <v>1496</v>
      </c>
      <c r="D200" s="302">
        <v>0</v>
      </c>
    </row>
    <row r="201" spans="1:4" ht="20.100000000000001" customHeight="1">
      <c r="A201" s="22"/>
      <c r="B201" s="302">
        <v>0</v>
      </c>
      <c r="C201" s="11" t="s">
        <v>1497</v>
      </c>
      <c r="D201" s="302">
        <v>92216</v>
      </c>
    </row>
    <row r="202" spans="1:4" ht="20.100000000000001" customHeight="1">
      <c r="A202" s="22"/>
      <c r="B202" s="302">
        <v>0</v>
      </c>
      <c r="C202" s="11" t="s">
        <v>1498</v>
      </c>
      <c r="D202" s="302">
        <v>0</v>
      </c>
    </row>
    <row r="203" spans="1:4" ht="20.100000000000001" customHeight="1">
      <c r="A203" s="22"/>
      <c r="B203" s="302">
        <v>0</v>
      </c>
      <c r="C203" s="11" t="s">
        <v>1499</v>
      </c>
      <c r="D203" s="302">
        <v>0</v>
      </c>
    </row>
    <row r="204" spans="1:4" ht="20.100000000000001" customHeight="1">
      <c r="A204" s="22"/>
      <c r="B204" s="302">
        <v>0</v>
      </c>
      <c r="C204" s="11" t="s">
        <v>1500</v>
      </c>
      <c r="D204" s="302">
        <v>0</v>
      </c>
    </row>
    <row r="205" spans="1:4" ht="20.100000000000001" customHeight="1">
      <c r="A205" s="22"/>
      <c r="B205" s="302">
        <v>0</v>
      </c>
      <c r="C205" s="11" t="s">
        <v>1501</v>
      </c>
      <c r="D205" s="302">
        <v>0</v>
      </c>
    </row>
    <row r="206" spans="1:4" ht="20.100000000000001" customHeight="1">
      <c r="A206" s="22"/>
      <c r="B206" s="302">
        <v>0</v>
      </c>
      <c r="C206" s="11" t="s">
        <v>1502</v>
      </c>
      <c r="D206" s="302">
        <v>0</v>
      </c>
    </row>
    <row r="207" spans="1:4" ht="20.100000000000001" customHeight="1">
      <c r="A207" s="22"/>
      <c r="B207" s="302">
        <v>0</v>
      </c>
      <c r="C207" s="11" t="s">
        <v>1503</v>
      </c>
      <c r="D207" s="302">
        <v>0</v>
      </c>
    </row>
    <row r="208" spans="1:4" ht="20.100000000000001" customHeight="1">
      <c r="A208" s="22"/>
      <c r="B208" s="302">
        <v>0</v>
      </c>
      <c r="C208" s="11" t="s">
        <v>1504</v>
      </c>
      <c r="D208" s="302">
        <v>1147</v>
      </c>
    </row>
    <row r="209" spans="1:4" ht="20.100000000000001" customHeight="1">
      <c r="A209" s="22"/>
      <c r="B209" s="302">
        <v>0</v>
      </c>
      <c r="C209" s="11" t="s">
        <v>1505</v>
      </c>
      <c r="D209" s="302">
        <v>20174</v>
      </c>
    </row>
    <row r="210" spans="1:4" ht="20.100000000000001" customHeight="1">
      <c r="A210" s="22"/>
      <c r="B210" s="302">
        <v>0</v>
      </c>
      <c r="C210" s="11" t="s">
        <v>1506</v>
      </c>
      <c r="D210" s="302">
        <v>9759</v>
      </c>
    </row>
    <row r="211" spans="1:4" ht="20.100000000000001" customHeight="1">
      <c r="A211" s="22"/>
      <c r="B211" s="302">
        <v>0</v>
      </c>
      <c r="C211" s="11" t="s">
        <v>1507</v>
      </c>
      <c r="D211" s="302">
        <v>127950</v>
      </c>
    </row>
    <row r="212" spans="1:4" ht="20.100000000000001" customHeight="1">
      <c r="A212" s="22"/>
      <c r="B212" s="302">
        <v>0</v>
      </c>
      <c r="C212" s="11" t="s">
        <v>1508</v>
      </c>
      <c r="D212" s="302">
        <v>250462</v>
      </c>
    </row>
    <row r="213" spans="1:4" ht="20.100000000000001" customHeight="1">
      <c r="A213" s="22"/>
      <c r="B213" s="302">
        <v>0</v>
      </c>
      <c r="C213" s="11" t="s">
        <v>1509</v>
      </c>
      <c r="D213" s="302">
        <v>285294</v>
      </c>
    </row>
    <row r="214" spans="1:4" ht="20.100000000000001" customHeight="1">
      <c r="A214" s="22"/>
      <c r="B214" s="302">
        <v>0</v>
      </c>
      <c r="C214" s="11" t="s">
        <v>1351</v>
      </c>
      <c r="D214" s="302">
        <v>2597</v>
      </c>
    </row>
    <row r="215" spans="1:4" ht="20.100000000000001" customHeight="1">
      <c r="A215" s="22"/>
      <c r="B215" s="302">
        <v>0</v>
      </c>
      <c r="C215" s="11" t="s">
        <v>1510</v>
      </c>
      <c r="D215" s="302">
        <v>0</v>
      </c>
    </row>
    <row r="216" spans="1:4" ht="20.100000000000001" customHeight="1">
      <c r="A216" s="22"/>
      <c r="B216" s="302">
        <v>0</v>
      </c>
      <c r="C216" s="11" t="s">
        <v>1511</v>
      </c>
      <c r="D216" s="302">
        <v>0</v>
      </c>
    </row>
    <row r="217" spans="1:4" ht="20.100000000000001" customHeight="1">
      <c r="A217" s="22"/>
      <c r="B217" s="302">
        <v>0</v>
      </c>
      <c r="C217" s="11" t="s">
        <v>1512</v>
      </c>
      <c r="D217" s="302">
        <v>0</v>
      </c>
    </row>
    <row r="218" spans="1:4" ht="20.100000000000001" customHeight="1">
      <c r="A218" s="22"/>
      <c r="B218" s="302">
        <v>0</v>
      </c>
      <c r="C218" s="11" t="s">
        <v>1513</v>
      </c>
      <c r="D218" s="302">
        <v>57</v>
      </c>
    </row>
    <row r="219" spans="1:4" ht="20.100000000000001" customHeight="1">
      <c r="A219" s="22"/>
      <c r="B219" s="302">
        <v>0</v>
      </c>
      <c r="C219" s="11" t="s">
        <v>1514</v>
      </c>
      <c r="D219" s="302">
        <v>0</v>
      </c>
    </row>
    <row r="220" spans="1:4" ht="20.100000000000001" customHeight="1">
      <c r="A220" s="22"/>
      <c r="B220" s="302">
        <v>0</v>
      </c>
      <c r="C220" s="11" t="s">
        <v>1515</v>
      </c>
      <c r="D220" s="302">
        <v>0</v>
      </c>
    </row>
    <row r="221" spans="1:4" ht="20.100000000000001" customHeight="1">
      <c r="A221" s="22"/>
      <c r="B221" s="302">
        <v>0</v>
      </c>
      <c r="C221" s="11" t="s">
        <v>1516</v>
      </c>
      <c r="D221" s="302">
        <v>0</v>
      </c>
    </row>
    <row r="222" spans="1:4" ht="20.100000000000001" customHeight="1">
      <c r="A222" s="22"/>
      <c r="B222" s="302">
        <v>0</v>
      </c>
      <c r="C222" s="11" t="s">
        <v>1517</v>
      </c>
      <c r="D222" s="302">
        <v>0</v>
      </c>
    </row>
    <row r="223" spans="1:4" ht="20.100000000000001" customHeight="1">
      <c r="A223" s="22"/>
      <c r="B223" s="302">
        <v>0</v>
      </c>
      <c r="C223" s="11" t="s">
        <v>1518</v>
      </c>
      <c r="D223" s="302">
        <v>0</v>
      </c>
    </row>
    <row r="224" spans="1:4" ht="20.100000000000001" customHeight="1">
      <c r="A224" s="22"/>
      <c r="B224" s="302">
        <v>0</v>
      </c>
      <c r="C224" s="11" t="s">
        <v>1519</v>
      </c>
      <c r="D224" s="302">
        <v>0</v>
      </c>
    </row>
    <row r="225" spans="1:4" ht="20.100000000000001" customHeight="1">
      <c r="A225" s="22"/>
      <c r="B225" s="302">
        <v>0</v>
      </c>
      <c r="C225" s="11" t="s">
        <v>1520</v>
      </c>
      <c r="D225" s="302">
        <v>0</v>
      </c>
    </row>
    <row r="226" spans="1:4" ht="20.100000000000001" customHeight="1">
      <c r="A226" s="22"/>
      <c r="B226" s="302">
        <v>0</v>
      </c>
      <c r="C226" s="11" t="s">
        <v>1521</v>
      </c>
      <c r="D226" s="302">
        <v>0</v>
      </c>
    </row>
    <row r="227" spans="1:4" ht="20.100000000000001" customHeight="1">
      <c r="A227" s="22"/>
      <c r="B227" s="302">
        <v>0</v>
      </c>
      <c r="C227" s="11" t="s">
        <v>1522</v>
      </c>
      <c r="D227" s="302">
        <v>120</v>
      </c>
    </row>
    <row r="228" spans="1:4" ht="20.100000000000001" customHeight="1">
      <c r="A228" s="22"/>
      <c r="B228" s="302">
        <v>0</v>
      </c>
      <c r="C228" s="11" t="s">
        <v>1523</v>
      </c>
      <c r="D228" s="302">
        <v>30</v>
      </c>
    </row>
    <row r="229" spans="1:4" ht="20.100000000000001" customHeight="1">
      <c r="A229" s="22"/>
      <c r="B229" s="302">
        <v>0</v>
      </c>
      <c r="C229" s="11" t="s">
        <v>1524</v>
      </c>
      <c r="D229" s="302">
        <v>2055</v>
      </c>
    </row>
    <row r="230" spans="1:4" ht="20.100000000000001" customHeight="1">
      <c r="A230" s="22"/>
      <c r="B230" s="302">
        <v>0</v>
      </c>
      <c r="C230" s="11" t="s">
        <v>1525</v>
      </c>
      <c r="D230" s="302">
        <v>335</v>
      </c>
    </row>
    <row r="231" spans="1:4" ht="20.100000000000001" customHeight="1">
      <c r="A231" s="22"/>
      <c r="B231" s="302">
        <v>0</v>
      </c>
      <c r="C231" s="11" t="s">
        <v>1352</v>
      </c>
      <c r="D231" s="302">
        <v>31242</v>
      </c>
    </row>
    <row r="232" spans="1:4" ht="20.100000000000001" customHeight="1">
      <c r="A232" s="22"/>
      <c r="B232" s="302">
        <v>0</v>
      </c>
      <c r="C232" s="11" t="s">
        <v>1526</v>
      </c>
      <c r="D232" s="302">
        <v>14583</v>
      </c>
    </row>
    <row r="233" spans="1:4" ht="20.100000000000001" customHeight="1">
      <c r="A233" s="22"/>
      <c r="B233" s="302">
        <v>0</v>
      </c>
      <c r="C233" s="11" t="s">
        <v>1527</v>
      </c>
      <c r="D233" s="302">
        <v>4269</v>
      </c>
    </row>
    <row r="234" spans="1:4" ht="20.100000000000001" customHeight="1">
      <c r="A234" s="22"/>
      <c r="B234" s="302">
        <v>0</v>
      </c>
      <c r="C234" s="11" t="s">
        <v>1528</v>
      </c>
      <c r="D234" s="302">
        <v>0</v>
      </c>
    </row>
    <row r="235" spans="1:4" ht="20.100000000000001" customHeight="1">
      <c r="A235" s="22"/>
      <c r="B235" s="302">
        <v>0</v>
      </c>
      <c r="C235" s="11" t="s">
        <v>1529</v>
      </c>
      <c r="D235" s="302">
        <v>0</v>
      </c>
    </row>
    <row r="236" spans="1:4" ht="20.100000000000001" customHeight="1">
      <c r="A236" s="22"/>
      <c r="B236" s="302">
        <v>0</v>
      </c>
      <c r="C236" s="11" t="s">
        <v>1530</v>
      </c>
      <c r="D236" s="302">
        <v>0</v>
      </c>
    </row>
    <row r="237" spans="1:4" ht="20.100000000000001" customHeight="1">
      <c r="A237" s="22"/>
      <c r="B237" s="302">
        <v>0</v>
      </c>
      <c r="C237" s="11" t="s">
        <v>1531</v>
      </c>
      <c r="D237" s="302">
        <v>600</v>
      </c>
    </row>
    <row r="238" spans="1:4" ht="20.100000000000001" customHeight="1">
      <c r="A238" s="22"/>
      <c r="B238" s="302">
        <v>0</v>
      </c>
      <c r="C238" s="11" t="s">
        <v>1532</v>
      </c>
      <c r="D238" s="302">
        <v>1098</v>
      </c>
    </row>
    <row r="239" spans="1:4" ht="20.100000000000001" customHeight="1">
      <c r="A239" s="22"/>
      <c r="B239" s="302">
        <v>0</v>
      </c>
      <c r="C239" s="11" t="s">
        <v>1533</v>
      </c>
      <c r="D239" s="302">
        <v>1472</v>
      </c>
    </row>
    <row r="240" spans="1:4" ht="20.100000000000001" customHeight="1">
      <c r="A240" s="22"/>
      <c r="B240" s="302">
        <v>0</v>
      </c>
      <c r="C240" s="11" t="s">
        <v>1534</v>
      </c>
      <c r="D240" s="302">
        <v>495</v>
      </c>
    </row>
    <row r="241" spans="1:4" ht="20.100000000000001" customHeight="1">
      <c r="A241" s="22"/>
      <c r="B241" s="302">
        <v>0</v>
      </c>
      <c r="C241" s="11" t="s">
        <v>1535</v>
      </c>
      <c r="D241" s="302">
        <v>2423</v>
      </c>
    </row>
    <row r="242" spans="1:4" ht="20.100000000000001" customHeight="1">
      <c r="A242" s="22"/>
      <c r="B242" s="302">
        <v>0</v>
      </c>
      <c r="C242" s="11" t="s">
        <v>1536</v>
      </c>
      <c r="D242" s="302">
        <v>0</v>
      </c>
    </row>
    <row r="243" spans="1:4" ht="20.100000000000001" customHeight="1">
      <c r="A243" s="22"/>
      <c r="B243" s="302">
        <v>0</v>
      </c>
      <c r="C243" s="11" t="s">
        <v>1537</v>
      </c>
      <c r="D243" s="302">
        <v>0</v>
      </c>
    </row>
    <row r="244" spans="1:4" ht="20.100000000000001" customHeight="1">
      <c r="A244" s="22"/>
      <c r="B244" s="302">
        <v>0</v>
      </c>
      <c r="C244" s="11" t="s">
        <v>1538</v>
      </c>
      <c r="D244" s="302">
        <v>4226</v>
      </c>
    </row>
    <row r="245" spans="1:4" ht="20.100000000000001" customHeight="1">
      <c r="A245" s="22"/>
      <c r="B245" s="302">
        <v>0</v>
      </c>
      <c r="C245" s="11" t="s">
        <v>1539</v>
      </c>
      <c r="D245" s="302">
        <v>16659</v>
      </c>
    </row>
    <row r="246" spans="1:4" ht="20.100000000000001" customHeight="1">
      <c r="A246" s="22"/>
      <c r="B246" s="302">
        <v>0</v>
      </c>
      <c r="C246" s="11" t="s">
        <v>827</v>
      </c>
      <c r="D246" s="302">
        <v>0</v>
      </c>
    </row>
    <row r="247" spans="1:4" ht="20.100000000000001" customHeight="1">
      <c r="A247" s="22"/>
      <c r="B247" s="302">
        <v>0</v>
      </c>
      <c r="C247" s="11" t="s">
        <v>872</v>
      </c>
      <c r="D247" s="302">
        <v>0</v>
      </c>
    </row>
    <row r="248" spans="1:4" ht="20.100000000000001" customHeight="1">
      <c r="A248" s="22"/>
      <c r="B248" s="302">
        <v>0</v>
      </c>
      <c r="C248" s="11" t="s">
        <v>730</v>
      </c>
      <c r="D248" s="302">
        <v>0</v>
      </c>
    </row>
    <row r="249" spans="1:4" ht="20.100000000000001" customHeight="1">
      <c r="A249" s="22"/>
      <c r="B249" s="302">
        <v>0</v>
      </c>
      <c r="C249" s="11" t="s">
        <v>1540</v>
      </c>
      <c r="D249" s="302">
        <v>0</v>
      </c>
    </row>
    <row r="250" spans="1:4" ht="20.100000000000001" customHeight="1">
      <c r="A250" s="22"/>
      <c r="B250" s="302">
        <v>0</v>
      </c>
      <c r="C250" s="11" t="s">
        <v>1541</v>
      </c>
      <c r="D250" s="302">
        <v>0</v>
      </c>
    </row>
    <row r="251" spans="1:4" ht="20.100000000000001" customHeight="1">
      <c r="A251" s="22"/>
      <c r="B251" s="302">
        <v>0</v>
      </c>
      <c r="C251" s="11" t="s">
        <v>1542</v>
      </c>
      <c r="D251" s="302">
        <v>16659</v>
      </c>
    </row>
    <row r="252" spans="1:4" ht="20.100000000000001" customHeight="1">
      <c r="A252" s="22"/>
      <c r="B252" s="302">
        <v>0</v>
      </c>
      <c r="C252" s="11"/>
      <c r="D252" s="302">
        <v>0</v>
      </c>
    </row>
    <row r="253" spans="1:4" ht="20.100000000000001" customHeight="1">
      <c r="A253" s="22"/>
      <c r="B253" s="302">
        <v>0</v>
      </c>
      <c r="C253" s="11"/>
      <c r="D253" s="302">
        <v>0</v>
      </c>
    </row>
    <row r="254" spans="1:4" ht="20.100000000000001" customHeight="1">
      <c r="A254" s="22"/>
      <c r="B254" s="302">
        <v>0</v>
      </c>
      <c r="C254" s="11"/>
      <c r="D254" s="302">
        <v>0</v>
      </c>
    </row>
    <row r="255" spans="1:4" ht="20.100000000000001" customHeight="1">
      <c r="A255" s="22"/>
      <c r="B255" s="302">
        <v>0</v>
      </c>
      <c r="C255" s="9"/>
      <c r="D255" s="302">
        <v>0</v>
      </c>
    </row>
    <row r="256" spans="1:4" ht="20.100000000000001" customHeight="1">
      <c r="A256" s="22"/>
      <c r="B256" s="302">
        <v>0</v>
      </c>
      <c r="C256" s="9"/>
      <c r="D256" s="302">
        <v>0</v>
      </c>
    </row>
    <row r="257" spans="1:4" ht="20.100000000000001" customHeight="1">
      <c r="A257" s="13" t="s">
        <v>53</v>
      </c>
      <c r="B257" s="302">
        <f>SUM(B6:B12,B18,B19,B22,B23,B24,B25,B26,B27,B33:B34)</f>
        <v>6694037</v>
      </c>
      <c r="C257" s="13" t="s">
        <v>1030</v>
      </c>
      <c r="D257" s="302">
        <f>SUM(D6,D22,D34,D45,D100,D116,D168,D172,D197,D214,D231)</f>
        <v>4783505</v>
      </c>
    </row>
    <row r="258" spans="1:4" ht="20.100000000000001" customHeight="1">
      <c r="A258" s="29" t="s">
        <v>1037</v>
      </c>
      <c r="B258" s="302">
        <f>SUM(B259,B262,B263,B265,B266)</f>
        <v>854403</v>
      </c>
      <c r="C258" s="29" t="s">
        <v>1038</v>
      </c>
      <c r="D258" s="302">
        <f>SUM(D259,D262:D265)</f>
        <v>2764935</v>
      </c>
    </row>
    <row r="259" spans="1:4" ht="20.100000000000001" customHeight="1">
      <c r="A259" s="7" t="s">
        <v>1353</v>
      </c>
      <c r="B259" s="302">
        <v>25376</v>
      </c>
      <c r="C259" s="7" t="s">
        <v>1354</v>
      </c>
      <c r="D259" s="302"/>
    </row>
    <row r="260" spans="1:4" ht="20.100000000000001" customHeight="1">
      <c r="A260" s="7" t="s">
        <v>1355</v>
      </c>
      <c r="B260" s="302">
        <v>25376</v>
      </c>
      <c r="C260" s="7" t="s">
        <v>1356</v>
      </c>
      <c r="D260" s="302">
        <v>0</v>
      </c>
    </row>
    <row r="261" spans="1:4" ht="20.100000000000001" customHeight="1">
      <c r="A261" s="7" t="s">
        <v>1357</v>
      </c>
      <c r="B261" s="302"/>
      <c r="C261" s="7" t="s">
        <v>1358</v>
      </c>
      <c r="D261" s="302"/>
    </row>
    <row r="262" spans="1:4" ht="20.100000000000001" customHeight="1">
      <c r="A262" s="7" t="s">
        <v>1108</v>
      </c>
      <c r="B262" s="236">
        <v>400624</v>
      </c>
      <c r="C262" s="7" t="s">
        <v>1359</v>
      </c>
      <c r="D262" s="302">
        <v>1823023</v>
      </c>
    </row>
    <row r="263" spans="1:4" ht="20.100000000000001" customHeight="1">
      <c r="A263" s="7" t="s">
        <v>1109</v>
      </c>
      <c r="B263" s="302">
        <v>8403</v>
      </c>
      <c r="C263" s="7" t="s">
        <v>1360</v>
      </c>
      <c r="D263" s="263">
        <v>379733</v>
      </c>
    </row>
    <row r="264" spans="1:4" ht="20.100000000000001" customHeight="1">
      <c r="A264" s="7" t="s">
        <v>1361</v>
      </c>
      <c r="B264" s="302">
        <v>0</v>
      </c>
      <c r="C264" s="30" t="s">
        <v>1362</v>
      </c>
      <c r="D264" s="302">
        <v>562179</v>
      </c>
    </row>
    <row r="265" spans="1:4" ht="20.100000000000001" customHeight="1">
      <c r="A265" s="30" t="s">
        <v>1363</v>
      </c>
      <c r="B265" s="302">
        <v>420000</v>
      </c>
      <c r="C265" s="30" t="s">
        <v>1364</v>
      </c>
      <c r="D265" s="302">
        <v>0</v>
      </c>
    </row>
    <row r="266" spans="1:4" ht="20.100000000000001" customHeight="1">
      <c r="A266" s="30" t="s">
        <v>1365</v>
      </c>
      <c r="B266" s="302"/>
      <c r="C266" s="30"/>
      <c r="D266" s="302">
        <v>0</v>
      </c>
    </row>
    <row r="267" spans="1:4" ht="20.100000000000001" customHeight="1">
      <c r="A267" s="30"/>
      <c r="B267" s="302">
        <v>0</v>
      </c>
      <c r="C267" s="30"/>
      <c r="D267" s="302">
        <v>0</v>
      </c>
    </row>
    <row r="268" spans="1:4" ht="15.75" customHeight="1">
      <c r="A268" s="30"/>
      <c r="B268" s="302">
        <v>0</v>
      </c>
      <c r="C268" s="30"/>
      <c r="D268" s="302">
        <v>0</v>
      </c>
    </row>
    <row r="269" spans="1:4" ht="20.100000000000001" customHeight="1">
      <c r="A269" s="30"/>
      <c r="B269" s="302">
        <v>0</v>
      </c>
      <c r="C269" s="30"/>
      <c r="D269" s="302">
        <v>0</v>
      </c>
    </row>
    <row r="270" spans="1:4" ht="20.100000000000001" customHeight="1">
      <c r="A270" s="13" t="s">
        <v>1124</v>
      </c>
      <c r="B270" s="302">
        <f>SUM(B257:B258)</f>
        <v>7548440</v>
      </c>
      <c r="C270" s="13" t="s">
        <v>1125</v>
      </c>
      <c r="D270" s="302">
        <f>SUM(D257:D258)</f>
        <v>7548440</v>
      </c>
    </row>
    <row r="271" spans="1:4" ht="20.100000000000001" customHeight="1"/>
    <row r="272" spans="1:4"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sheetData>
  <mergeCells count="3">
    <mergeCell ref="A2:D2"/>
    <mergeCell ref="A4:B4"/>
    <mergeCell ref="C4:D4"/>
  </mergeCells>
  <phoneticPr fontId="14" type="noConversion"/>
  <printOptions horizontalCentered="1"/>
  <pageMargins left="0.47" right="0.47" top="0.59" bottom="0.47" header="0.31" footer="0.31"/>
  <pageSetup paperSize="9" scale="80" orientation="landscape" r:id="rId1"/>
</worksheet>
</file>

<file path=xl/worksheets/sheet14.xml><?xml version="1.0" encoding="utf-8"?>
<worksheet xmlns="http://schemas.openxmlformats.org/spreadsheetml/2006/main" xmlns:r="http://schemas.openxmlformats.org/officeDocument/2006/relationships">
  <dimension ref="A1:C27"/>
  <sheetViews>
    <sheetView workbookViewId="0">
      <selection activeCell="B31" sqref="B31"/>
    </sheetView>
  </sheetViews>
  <sheetFormatPr defaultColWidth="9" defaultRowHeight="13.5"/>
  <cols>
    <col min="1" max="1" width="55.125" style="16" customWidth="1"/>
    <col min="2" max="2" width="25.75" style="16" customWidth="1"/>
    <col min="3" max="3" width="34.875" style="16" customWidth="1"/>
    <col min="4" max="16384" width="9" style="16"/>
  </cols>
  <sheetData>
    <row r="1" spans="1:3" ht="14.25">
      <c r="A1" s="4" t="s">
        <v>1543</v>
      </c>
      <c r="B1" s="3"/>
    </row>
    <row r="2" spans="1:3" s="15" customFormat="1" ht="20.25">
      <c r="A2" s="351" t="s">
        <v>1544</v>
      </c>
      <c r="B2" s="351"/>
      <c r="C2" s="351"/>
    </row>
    <row r="3" spans="1:3">
      <c r="A3" s="17" t="s">
        <v>0</v>
      </c>
      <c r="B3" s="17"/>
      <c r="C3" s="18" t="s">
        <v>22</v>
      </c>
    </row>
    <row r="4" spans="1:3" ht="45.75" customHeight="1">
      <c r="A4" s="19"/>
      <c r="B4" s="20" t="s">
        <v>24</v>
      </c>
      <c r="C4" s="21" t="s">
        <v>25</v>
      </c>
    </row>
    <row r="5" spans="1:3" ht="20.100000000000001" customHeight="1">
      <c r="A5" s="22" t="s">
        <v>1288</v>
      </c>
      <c r="B5" s="23"/>
      <c r="C5" s="23"/>
    </row>
    <row r="6" spans="1:3" ht="20.100000000000001" customHeight="1">
      <c r="A6" s="22" t="s">
        <v>1290</v>
      </c>
      <c r="B6" s="23"/>
      <c r="C6" s="23"/>
    </row>
    <row r="7" spans="1:3" ht="20.100000000000001" customHeight="1">
      <c r="A7" s="22" t="s">
        <v>1292</v>
      </c>
      <c r="B7" s="23"/>
      <c r="C7" s="23"/>
    </row>
    <row r="8" spans="1:3" ht="20.100000000000001" customHeight="1">
      <c r="A8" s="22" t="s">
        <v>1294</v>
      </c>
      <c r="B8" s="236">
        <v>321</v>
      </c>
      <c r="C8" s="307">
        <v>200</v>
      </c>
    </row>
    <row r="9" spans="1:3" ht="20.100000000000001" customHeight="1">
      <c r="A9" s="22" t="s">
        <v>1296</v>
      </c>
      <c r="B9" s="236">
        <v>1786</v>
      </c>
      <c r="C9" s="307">
        <v>1401</v>
      </c>
    </row>
    <row r="10" spans="1:3" ht="20.100000000000001" customHeight="1">
      <c r="A10" s="22" t="s">
        <v>1298</v>
      </c>
      <c r="B10" s="236">
        <v>23858</v>
      </c>
      <c r="C10" s="307">
        <v>3640</v>
      </c>
    </row>
    <row r="11" spans="1:3" ht="20.100000000000001" customHeight="1">
      <c r="A11" s="22" t="s">
        <v>1300</v>
      </c>
      <c r="B11" s="236">
        <v>5274468</v>
      </c>
      <c r="C11" s="307">
        <v>1639114</v>
      </c>
    </row>
    <row r="12" spans="1:3" ht="20.100000000000001" customHeight="1">
      <c r="A12" s="22" t="s">
        <v>1302</v>
      </c>
      <c r="B12" s="276"/>
      <c r="C12" s="307">
        <v>8</v>
      </c>
    </row>
    <row r="13" spans="1:3" ht="20.100000000000001" customHeight="1">
      <c r="A13" s="22" t="s">
        <v>1304</v>
      </c>
      <c r="B13" s="236">
        <v>106220</v>
      </c>
      <c r="C13" s="307">
        <v>19816</v>
      </c>
    </row>
    <row r="14" spans="1:3" ht="20.100000000000001" customHeight="1">
      <c r="A14" s="22" t="s">
        <v>1306</v>
      </c>
      <c r="B14" s="236">
        <v>110582</v>
      </c>
      <c r="C14" s="307">
        <v>40881</v>
      </c>
    </row>
    <row r="15" spans="1:3" ht="20.100000000000001" customHeight="1">
      <c r="A15" s="22" t="s">
        <v>1308</v>
      </c>
      <c r="B15" s="276"/>
      <c r="C15" s="307"/>
    </row>
    <row r="16" spans="1:3" ht="20.100000000000001" customHeight="1">
      <c r="A16" s="22" t="s">
        <v>1310</v>
      </c>
      <c r="B16" s="276"/>
      <c r="C16" s="307"/>
    </row>
    <row r="17" spans="1:3" ht="20.100000000000001" customHeight="1">
      <c r="A17" s="22" t="s">
        <v>1312</v>
      </c>
      <c r="B17" s="236">
        <v>166407</v>
      </c>
      <c r="C17" s="307">
        <v>31000</v>
      </c>
    </row>
    <row r="18" spans="1:3" ht="20.100000000000001" customHeight="1">
      <c r="A18" s="22" t="s">
        <v>1314</v>
      </c>
      <c r="B18" s="236">
        <v>36749</v>
      </c>
      <c r="C18" s="307">
        <v>8323</v>
      </c>
    </row>
    <row r="19" spans="1:3" ht="20.100000000000001" customHeight="1">
      <c r="A19" s="22" t="s">
        <v>1316</v>
      </c>
      <c r="B19" s="236">
        <v>33328</v>
      </c>
      <c r="C19" s="307">
        <v>6742</v>
      </c>
    </row>
    <row r="20" spans="1:3" ht="20.100000000000001" customHeight="1">
      <c r="A20" s="22" t="s">
        <v>1318</v>
      </c>
      <c r="B20" s="238">
        <v>160338</v>
      </c>
      <c r="C20" s="307">
        <v>71898</v>
      </c>
    </row>
    <row r="21" spans="1:3" ht="20.100000000000001" customHeight="1">
      <c r="A21" s="7"/>
      <c r="B21" s="7"/>
      <c r="C21" s="308"/>
    </row>
    <row r="22" spans="1:3" ht="20.100000000000001" customHeight="1">
      <c r="A22" s="7"/>
      <c r="B22" s="7"/>
      <c r="C22" s="308"/>
    </row>
    <row r="23" spans="1:3" ht="20.100000000000001" customHeight="1">
      <c r="A23" s="13" t="s">
        <v>53</v>
      </c>
      <c r="B23" s="263">
        <f>SUM(B5:B20)</f>
        <v>5914057</v>
      </c>
      <c r="C23" s="263">
        <v>1823023</v>
      </c>
    </row>
    <row r="24" spans="1:3" ht="20.100000000000001" customHeight="1">
      <c r="C24" s="306"/>
    </row>
    <row r="25" spans="1:3" ht="20.100000000000001" customHeight="1"/>
    <row r="26" spans="1:3" ht="20.100000000000001" customHeight="1"/>
    <row r="27" spans="1:3" ht="20.100000000000001" customHeight="1"/>
  </sheetData>
  <mergeCells count="1">
    <mergeCell ref="A2:C2"/>
  </mergeCells>
  <phoneticPr fontId="14" type="noConversion"/>
  <printOptions horizontalCentered="1" verticalCentered="1"/>
  <pageMargins left="0.70866141732283505" right="0.70866141732283505" top="0.15748031496063" bottom="0.35433070866141703" header="0.31496062992126" footer="0.31496062992126"/>
  <pageSetup paperSize="9" orientation="landscape"/>
</worksheet>
</file>

<file path=xl/worksheets/sheet15.xml><?xml version="1.0" encoding="utf-8"?>
<worksheet xmlns="http://schemas.openxmlformats.org/spreadsheetml/2006/main" xmlns:r="http://schemas.openxmlformats.org/officeDocument/2006/relationships">
  <dimension ref="A1:H63"/>
  <sheetViews>
    <sheetView showGridLines="0" showZeros="0" workbookViewId="0">
      <pane xSplit="1" ySplit="5" topLeftCell="B12" activePane="bottomRight" state="frozen"/>
      <selection pane="topRight"/>
      <selection pane="bottomLeft"/>
      <selection pane="bottomRight" activeCell="C43" sqref="C43"/>
    </sheetView>
  </sheetViews>
  <sheetFormatPr defaultColWidth="9" defaultRowHeight="13.5"/>
  <cols>
    <col min="1" max="1" width="54.25" style="3" customWidth="1"/>
    <col min="2" max="2" width="12.875" style="3" customWidth="1"/>
    <col min="3" max="3" width="19.25" style="3" customWidth="1"/>
    <col min="4" max="4" width="18.875" style="3" customWidth="1"/>
    <col min="5" max="5" width="13.375" style="3" customWidth="1"/>
    <col min="6" max="6" width="13.5" style="3" customWidth="1"/>
    <col min="7" max="7" width="14.625" style="3" customWidth="1"/>
    <col min="8" max="8" width="13.625" style="3" customWidth="1"/>
    <col min="9" max="16384" width="9" style="3"/>
  </cols>
  <sheetData>
    <row r="1" spans="1:8" ht="14.25">
      <c r="A1" s="4" t="s">
        <v>1545</v>
      </c>
    </row>
    <row r="2" spans="1:8" s="1" customFormat="1" ht="20.25">
      <c r="A2" s="351" t="s">
        <v>1546</v>
      </c>
      <c r="B2" s="351"/>
      <c r="C2" s="351"/>
      <c r="D2" s="351"/>
      <c r="E2" s="351"/>
      <c r="F2" s="351"/>
      <c r="G2" s="351"/>
      <c r="H2" s="351"/>
    </row>
    <row r="3" spans="1:8" ht="18" customHeight="1">
      <c r="H3" s="14" t="s">
        <v>22</v>
      </c>
    </row>
    <row r="4" spans="1:8" s="2" customFormat="1" ht="31.5" customHeight="1">
      <c r="A4" s="385" t="s">
        <v>23</v>
      </c>
      <c r="B4" s="385" t="s">
        <v>1128</v>
      </c>
      <c r="C4" s="385" t="s">
        <v>1547</v>
      </c>
      <c r="D4" s="388" t="s">
        <v>1548</v>
      </c>
      <c r="E4" s="388" t="s">
        <v>1549</v>
      </c>
      <c r="F4" s="391" t="s">
        <v>1132</v>
      </c>
      <c r="G4" s="385" t="s">
        <v>1133</v>
      </c>
      <c r="H4" s="385" t="s">
        <v>1134</v>
      </c>
    </row>
    <row r="5" spans="1:8" s="2" customFormat="1" ht="27.75" customHeight="1">
      <c r="A5" s="386"/>
      <c r="B5" s="386"/>
      <c r="C5" s="387"/>
      <c r="D5" s="389"/>
      <c r="E5" s="390"/>
      <c r="F5" s="392"/>
      <c r="G5" s="386"/>
      <c r="H5" s="386"/>
    </row>
    <row r="6" spans="1:8" ht="18.399999999999999" customHeight="1">
      <c r="A6" s="6" t="s">
        <v>1289</v>
      </c>
      <c r="B6" s="96">
        <v>1713</v>
      </c>
      <c r="C6" s="96">
        <v>951</v>
      </c>
      <c r="D6" s="96"/>
      <c r="E6" s="309">
        <v>762</v>
      </c>
      <c r="F6" s="96"/>
      <c r="G6" s="96"/>
      <c r="H6" s="96"/>
    </row>
    <row r="7" spans="1:8" ht="18.399999999999999" customHeight="1">
      <c r="A7" s="8" t="s">
        <v>1291</v>
      </c>
      <c r="B7" s="96">
        <v>951</v>
      </c>
      <c r="C7" s="96">
        <v>931</v>
      </c>
      <c r="D7" s="96"/>
      <c r="E7" s="96">
        <v>20</v>
      </c>
      <c r="F7" s="96"/>
      <c r="G7" s="96"/>
      <c r="H7" s="96"/>
    </row>
    <row r="8" spans="1:8" ht="18.399999999999999" customHeight="1">
      <c r="A8" s="8" t="s">
        <v>1293</v>
      </c>
      <c r="B8" s="96">
        <v>762</v>
      </c>
      <c r="C8" s="96">
        <v>20</v>
      </c>
      <c r="D8" s="96"/>
      <c r="E8" s="96">
        <v>742</v>
      </c>
      <c r="F8" s="96"/>
      <c r="G8" s="96"/>
      <c r="H8" s="96"/>
    </row>
    <row r="9" spans="1:8" ht="18.399999999999999" customHeight="1">
      <c r="A9" s="8" t="s">
        <v>1295</v>
      </c>
      <c r="B9" s="96">
        <v>0</v>
      </c>
      <c r="C9" s="96">
        <v>0</v>
      </c>
      <c r="D9" s="96"/>
      <c r="E9" s="96"/>
      <c r="F9" s="96"/>
      <c r="G9" s="96"/>
      <c r="H9" s="96"/>
    </row>
    <row r="10" spans="1:8" ht="18.399999999999999" customHeight="1">
      <c r="A10" s="6" t="s">
        <v>1297</v>
      </c>
      <c r="B10" s="96">
        <v>10746</v>
      </c>
      <c r="C10" s="96">
        <v>39</v>
      </c>
      <c r="D10" s="96">
        <v>9376</v>
      </c>
      <c r="E10" s="96">
        <v>1331</v>
      </c>
      <c r="F10" s="96"/>
      <c r="G10" s="96"/>
      <c r="H10" s="96"/>
    </row>
    <row r="11" spans="1:8" ht="18.399999999999999" customHeight="1">
      <c r="A11" s="8" t="s">
        <v>1299</v>
      </c>
      <c r="B11" s="96">
        <v>10707</v>
      </c>
      <c r="C11" s="96">
        <v>0</v>
      </c>
      <c r="D11" s="96">
        <v>9376</v>
      </c>
      <c r="E11" s="96">
        <v>1331</v>
      </c>
      <c r="F11" s="96"/>
      <c r="G11" s="96"/>
      <c r="H11" s="96"/>
    </row>
    <row r="12" spans="1:8" ht="18.399999999999999" customHeight="1">
      <c r="A12" s="8" t="s">
        <v>1301</v>
      </c>
      <c r="B12" s="96">
        <v>39</v>
      </c>
      <c r="C12" s="96">
        <v>39</v>
      </c>
      <c r="D12" s="96"/>
      <c r="E12" s="96">
        <v>0</v>
      </c>
      <c r="F12" s="96"/>
      <c r="G12" s="96"/>
      <c r="H12" s="96"/>
    </row>
    <row r="13" spans="1:8" ht="18.399999999999999" customHeight="1">
      <c r="A13" s="8" t="s">
        <v>1303</v>
      </c>
      <c r="B13" s="96">
        <v>0</v>
      </c>
      <c r="C13" s="96">
        <v>0</v>
      </c>
      <c r="D13" s="96"/>
      <c r="E13" s="96">
        <v>0</v>
      </c>
      <c r="F13" s="96"/>
      <c r="G13" s="96"/>
      <c r="H13" s="96"/>
    </row>
    <row r="14" spans="1:8" ht="18.399999999999999" customHeight="1">
      <c r="A14" s="6" t="s">
        <v>1305</v>
      </c>
      <c r="B14" s="96">
        <v>13404</v>
      </c>
      <c r="C14" s="96">
        <v>0</v>
      </c>
      <c r="D14" s="96">
        <v>3794</v>
      </c>
      <c r="E14" s="96">
        <v>9610</v>
      </c>
      <c r="F14" s="96"/>
      <c r="G14" s="96"/>
      <c r="H14" s="96"/>
    </row>
    <row r="15" spans="1:8" ht="18.399999999999999" customHeight="1">
      <c r="A15" s="6" t="s">
        <v>1307</v>
      </c>
      <c r="B15" s="96">
        <v>13404</v>
      </c>
      <c r="C15" s="96">
        <v>0</v>
      </c>
      <c r="D15" s="96">
        <v>3794</v>
      </c>
      <c r="E15" s="96">
        <v>9610</v>
      </c>
      <c r="F15" s="96"/>
      <c r="G15" s="96"/>
      <c r="H15" s="96"/>
    </row>
    <row r="16" spans="1:8" ht="18.399999999999999" customHeight="1">
      <c r="A16" s="6" t="s">
        <v>1309</v>
      </c>
      <c r="B16" s="96">
        <v>0</v>
      </c>
      <c r="C16" s="96">
        <v>0</v>
      </c>
      <c r="D16" s="96"/>
      <c r="E16" s="96">
        <v>0</v>
      </c>
      <c r="F16" s="96"/>
      <c r="G16" s="96"/>
      <c r="H16" s="96"/>
    </row>
    <row r="17" spans="1:8" ht="18.399999999999999" customHeight="1">
      <c r="A17" s="6" t="s">
        <v>1311</v>
      </c>
      <c r="B17" s="96">
        <v>3542834</v>
      </c>
      <c r="C17" s="96">
        <v>3494844</v>
      </c>
      <c r="D17" s="96"/>
      <c r="E17" s="96">
        <v>46470</v>
      </c>
      <c r="F17" s="96"/>
      <c r="G17" s="96">
        <v>1520</v>
      </c>
      <c r="H17" s="96"/>
    </row>
    <row r="18" spans="1:8" ht="18.399999999999999" customHeight="1">
      <c r="A18" s="6" t="s">
        <v>1313</v>
      </c>
      <c r="B18" s="96">
        <v>3342845</v>
      </c>
      <c r="C18" s="96">
        <v>3303754</v>
      </c>
      <c r="D18" s="96"/>
      <c r="E18" s="96">
        <v>39091</v>
      </c>
      <c r="F18" s="96"/>
      <c r="G18" s="96"/>
      <c r="H18" s="96"/>
    </row>
    <row r="19" spans="1:8" ht="18.399999999999999" customHeight="1">
      <c r="A19" s="6" t="s">
        <v>1315</v>
      </c>
      <c r="B19" s="96">
        <v>2054</v>
      </c>
      <c r="C19" s="96">
        <v>1560</v>
      </c>
      <c r="D19" s="96"/>
      <c r="E19" s="96">
        <v>494</v>
      </c>
      <c r="F19" s="96"/>
      <c r="G19" s="96"/>
      <c r="H19" s="96"/>
    </row>
    <row r="20" spans="1:8" ht="18.399999999999999" customHeight="1">
      <c r="A20" s="6" t="s">
        <v>1317</v>
      </c>
      <c r="B20" s="96">
        <v>9082</v>
      </c>
      <c r="C20" s="96">
        <v>6849</v>
      </c>
      <c r="D20" s="96"/>
      <c r="E20" s="96">
        <v>2233</v>
      </c>
      <c r="F20" s="96"/>
      <c r="G20" s="96"/>
      <c r="H20" s="96"/>
    </row>
    <row r="21" spans="1:8" ht="18.399999999999999" customHeight="1">
      <c r="A21" s="6" t="s">
        <v>1319</v>
      </c>
      <c r="B21" s="96">
        <v>153193</v>
      </c>
      <c r="C21" s="96">
        <v>148735</v>
      </c>
      <c r="D21" s="96"/>
      <c r="E21" s="96">
        <v>4458</v>
      </c>
      <c r="F21" s="96"/>
      <c r="G21" s="96"/>
      <c r="H21" s="96"/>
    </row>
    <row r="22" spans="1:8" ht="18.399999999999999" customHeight="1">
      <c r="A22" s="6" t="s">
        <v>1321</v>
      </c>
      <c r="B22" s="96">
        <v>34140</v>
      </c>
      <c r="C22" s="96">
        <v>33946</v>
      </c>
      <c r="D22" s="96"/>
      <c r="E22" s="96">
        <v>194</v>
      </c>
      <c r="F22" s="96"/>
      <c r="G22" s="96"/>
      <c r="H22" s="96"/>
    </row>
    <row r="23" spans="1:8" ht="18.399999999999999" customHeight="1">
      <c r="A23" s="6" t="s">
        <v>1322</v>
      </c>
      <c r="B23" s="96">
        <v>660</v>
      </c>
      <c r="C23" s="96">
        <v>0</v>
      </c>
      <c r="D23" s="96"/>
      <c r="E23" s="96">
        <v>0</v>
      </c>
      <c r="F23" s="96"/>
      <c r="G23" s="96">
        <v>660</v>
      </c>
      <c r="H23" s="96"/>
    </row>
    <row r="24" spans="1:8" ht="18.399999999999999" customHeight="1">
      <c r="A24" s="6" t="s">
        <v>1323</v>
      </c>
      <c r="B24" s="96">
        <v>860</v>
      </c>
      <c r="C24" s="96">
        <v>0</v>
      </c>
      <c r="D24" s="96"/>
      <c r="E24" s="96"/>
      <c r="F24" s="96"/>
      <c r="G24" s="96">
        <v>860</v>
      </c>
      <c r="H24" s="96"/>
    </row>
    <row r="25" spans="1:8" ht="18.399999999999999" customHeight="1">
      <c r="A25" s="6" t="s">
        <v>1324</v>
      </c>
      <c r="B25" s="96">
        <v>0</v>
      </c>
      <c r="C25" s="96">
        <v>0</v>
      </c>
      <c r="D25" s="96"/>
      <c r="E25" s="96">
        <v>0</v>
      </c>
      <c r="F25" s="96"/>
      <c r="G25" s="96"/>
      <c r="H25" s="96"/>
    </row>
    <row r="26" spans="1:8" ht="18.399999999999999" customHeight="1">
      <c r="A26" s="6" t="s">
        <v>1325</v>
      </c>
      <c r="B26" s="96">
        <v>0</v>
      </c>
      <c r="C26" s="96">
        <v>0</v>
      </c>
      <c r="D26" s="96"/>
      <c r="E26" s="96">
        <v>0</v>
      </c>
      <c r="F26" s="96"/>
      <c r="G26" s="96"/>
      <c r="H26" s="96"/>
    </row>
    <row r="27" spans="1:8" ht="18.399999999999999" customHeight="1">
      <c r="A27" s="6" t="s">
        <v>1326</v>
      </c>
      <c r="B27" s="96">
        <v>0</v>
      </c>
      <c r="C27" s="96">
        <v>0</v>
      </c>
      <c r="D27" s="96"/>
      <c r="E27" s="96">
        <v>0</v>
      </c>
      <c r="F27" s="96"/>
      <c r="G27" s="96"/>
      <c r="H27" s="96"/>
    </row>
    <row r="28" spans="1:8" ht="18.399999999999999" customHeight="1">
      <c r="A28" s="6" t="s">
        <v>1327</v>
      </c>
      <c r="B28" s="96">
        <v>3</v>
      </c>
      <c r="C28" s="96">
        <v>0</v>
      </c>
      <c r="D28" s="96"/>
      <c r="E28" s="96">
        <v>3</v>
      </c>
      <c r="F28" s="96"/>
      <c r="G28" s="96"/>
      <c r="H28" s="96"/>
    </row>
    <row r="29" spans="1:8" ht="18.399999999999999" customHeight="1">
      <c r="A29" s="6" t="s">
        <v>1328</v>
      </c>
      <c r="B29" s="96">
        <v>3</v>
      </c>
      <c r="C29" s="96">
        <v>0</v>
      </c>
      <c r="D29" s="96"/>
      <c r="E29" s="96">
        <v>3</v>
      </c>
      <c r="F29" s="96"/>
      <c r="G29" s="96"/>
      <c r="H29" s="96"/>
    </row>
    <row r="30" spans="1:8" ht="18.399999999999999" customHeight="1">
      <c r="A30" s="9" t="s">
        <v>1329</v>
      </c>
      <c r="B30" s="96">
        <v>0</v>
      </c>
      <c r="C30" s="96">
        <v>0</v>
      </c>
      <c r="D30" s="96"/>
      <c r="E30" s="96">
        <v>0</v>
      </c>
      <c r="F30" s="96"/>
      <c r="G30" s="96"/>
      <c r="H30" s="96"/>
    </row>
    <row r="31" spans="1:8" ht="18.399999999999999" customHeight="1">
      <c r="A31" s="9" t="s">
        <v>1330</v>
      </c>
      <c r="B31" s="96">
        <v>0</v>
      </c>
      <c r="C31" s="96">
        <v>0</v>
      </c>
      <c r="D31" s="96"/>
      <c r="E31" s="96">
        <v>0</v>
      </c>
      <c r="F31" s="96"/>
      <c r="G31" s="96"/>
      <c r="H31" s="96"/>
    </row>
    <row r="32" spans="1:8" ht="18.399999999999999" customHeight="1">
      <c r="A32" s="10" t="s">
        <v>1331</v>
      </c>
      <c r="B32" s="96"/>
      <c r="C32" s="96">
        <v>0</v>
      </c>
      <c r="D32" s="96"/>
      <c r="E32" s="96">
        <v>0</v>
      </c>
      <c r="F32" s="96"/>
      <c r="G32" s="96"/>
      <c r="H32" s="96"/>
    </row>
    <row r="33" spans="1:8" ht="18.399999999999999" customHeight="1">
      <c r="A33" s="10" t="s">
        <v>1332</v>
      </c>
      <c r="B33" s="96"/>
      <c r="C33" s="96">
        <v>0</v>
      </c>
      <c r="D33" s="96"/>
      <c r="E33" s="96">
        <v>0</v>
      </c>
      <c r="F33" s="96"/>
      <c r="G33" s="96"/>
      <c r="H33" s="96"/>
    </row>
    <row r="34" spans="1:8" ht="18.399999999999999" customHeight="1">
      <c r="A34" s="11" t="s">
        <v>1333</v>
      </c>
      <c r="B34" s="96">
        <v>30046</v>
      </c>
      <c r="C34" s="96">
        <v>30046</v>
      </c>
      <c r="D34" s="96"/>
      <c r="E34" s="96">
        <v>0</v>
      </c>
      <c r="F34" s="96"/>
      <c r="G34" s="96"/>
      <c r="H34" s="96"/>
    </row>
    <row r="35" spans="1:8" ht="18.399999999999999" customHeight="1">
      <c r="A35" s="9" t="s">
        <v>1334</v>
      </c>
      <c r="B35" s="96">
        <v>0</v>
      </c>
      <c r="C35" s="96">
        <v>0</v>
      </c>
      <c r="D35" s="96"/>
      <c r="E35" s="96">
        <v>0</v>
      </c>
      <c r="F35" s="96"/>
      <c r="G35" s="96"/>
      <c r="H35" s="96"/>
    </row>
    <row r="36" spans="1:8" ht="18.399999999999999" customHeight="1">
      <c r="A36" s="9" t="s">
        <v>1335</v>
      </c>
      <c r="B36" s="96">
        <v>30000</v>
      </c>
      <c r="C36" s="96">
        <v>30000</v>
      </c>
      <c r="D36" s="96"/>
      <c r="E36" s="96">
        <v>0</v>
      </c>
      <c r="F36" s="96"/>
      <c r="G36" s="96"/>
      <c r="H36" s="96"/>
    </row>
    <row r="37" spans="1:8" ht="18.399999999999999" customHeight="1">
      <c r="A37" s="9" t="s">
        <v>1336</v>
      </c>
      <c r="B37" s="96">
        <v>0</v>
      </c>
      <c r="C37" s="96">
        <v>0</v>
      </c>
      <c r="D37" s="96"/>
      <c r="E37" s="96">
        <v>0</v>
      </c>
      <c r="F37" s="96"/>
      <c r="G37" s="96"/>
      <c r="H37" s="96"/>
    </row>
    <row r="38" spans="1:8" ht="18.399999999999999" customHeight="1">
      <c r="A38" s="9" t="s">
        <v>1337</v>
      </c>
      <c r="B38" s="96">
        <v>0</v>
      </c>
      <c r="C38" s="96">
        <v>0</v>
      </c>
      <c r="D38" s="96"/>
      <c r="E38" s="96">
        <v>0</v>
      </c>
      <c r="F38" s="96"/>
      <c r="G38" s="96"/>
      <c r="H38" s="96"/>
    </row>
    <row r="39" spans="1:8" ht="18.399999999999999" customHeight="1">
      <c r="A39" s="9" t="s">
        <v>1338</v>
      </c>
      <c r="B39" s="96">
        <v>0</v>
      </c>
      <c r="C39" s="96">
        <v>0</v>
      </c>
      <c r="D39" s="96"/>
      <c r="E39" s="96">
        <v>0</v>
      </c>
      <c r="F39" s="96"/>
      <c r="G39" s="96"/>
      <c r="H39" s="96"/>
    </row>
    <row r="40" spans="1:8" ht="18.399999999999999" customHeight="1">
      <c r="A40" s="9" t="s">
        <v>1339</v>
      </c>
      <c r="B40" s="96">
        <v>46</v>
      </c>
      <c r="C40" s="96">
        <v>46</v>
      </c>
      <c r="D40" s="96"/>
      <c r="E40" s="96">
        <v>0</v>
      </c>
      <c r="F40" s="96"/>
      <c r="G40" s="96"/>
      <c r="H40" s="96"/>
    </row>
    <row r="41" spans="1:8" ht="18.399999999999999" customHeight="1">
      <c r="A41" s="9" t="s">
        <v>1340</v>
      </c>
      <c r="B41" s="96">
        <v>0</v>
      </c>
      <c r="C41" s="96">
        <v>0</v>
      </c>
      <c r="D41" s="96"/>
      <c r="E41" s="96">
        <v>0</v>
      </c>
      <c r="F41" s="96"/>
      <c r="G41" s="96"/>
      <c r="H41" s="96"/>
    </row>
    <row r="42" spans="1:8" ht="18.399999999999999" customHeight="1">
      <c r="A42" s="9" t="s">
        <v>1341</v>
      </c>
      <c r="B42" s="96">
        <v>0</v>
      </c>
      <c r="C42" s="96">
        <v>0</v>
      </c>
      <c r="D42" s="96"/>
      <c r="E42" s="96">
        <v>0</v>
      </c>
      <c r="F42" s="96"/>
      <c r="G42" s="96"/>
      <c r="H42" s="96"/>
    </row>
    <row r="43" spans="1:8" ht="18.399999999999999" customHeight="1">
      <c r="A43" s="9" t="s">
        <v>1342</v>
      </c>
      <c r="B43" s="96">
        <v>0</v>
      </c>
      <c r="C43" s="96">
        <v>0</v>
      </c>
      <c r="D43" s="96"/>
      <c r="E43" s="96">
        <v>0</v>
      </c>
      <c r="F43" s="96"/>
      <c r="G43" s="96"/>
      <c r="H43" s="96"/>
    </row>
    <row r="44" spans="1:8" ht="18.399999999999999" customHeight="1">
      <c r="A44" s="9" t="s">
        <v>1343</v>
      </c>
      <c r="B44" s="96">
        <v>0</v>
      </c>
      <c r="C44" s="96">
        <v>0</v>
      </c>
      <c r="D44" s="96"/>
      <c r="E44" s="96">
        <v>0</v>
      </c>
      <c r="F44" s="96"/>
      <c r="G44" s="96"/>
      <c r="H44" s="96"/>
    </row>
    <row r="45" spans="1:8" ht="18.399999999999999" customHeight="1">
      <c r="A45" s="11" t="s">
        <v>1344</v>
      </c>
      <c r="B45" s="96">
        <v>0</v>
      </c>
      <c r="C45" s="96">
        <v>0</v>
      </c>
      <c r="D45" s="96"/>
      <c r="E45" s="96">
        <v>0</v>
      </c>
      <c r="F45" s="96"/>
      <c r="G45" s="96"/>
      <c r="H45" s="96"/>
    </row>
    <row r="46" spans="1:8" ht="18.399999999999999" customHeight="1">
      <c r="A46" s="9" t="s">
        <v>1345</v>
      </c>
      <c r="B46" s="96">
        <v>0</v>
      </c>
      <c r="C46" s="96">
        <v>0</v>
      </c>
      <c r="D46" s="96"/>
      <c r="E46" s="96">
        <v>0</v>
      </c>
      <c r="F46" s="96"/>
      <c r="G46" s="96"/>
      <c r="H46" s="96"/>
    </row>
    <row r="47" spans="1:8" ht="18.399999999999999" customHeight="1">
      <c r="A47" s="11" t="s">
        <v>1346</v>
      </c>
      <c r="B47" s="96">
        <v>363918</v>
      </c>
      <c r="C47" s="96">
        <v>126465</v>
      </c>
      <c r="D47" s="96">
        <v>12206</v>
      </c>
      <c r="E47" s="96">
        <v>24121</v>
      </c>
      <c r="F47" s="96"/>
      <c r="G47" s="96">
        <v>201126</v>
      </c>
      <c r="H47" s="96"/>
    </row>
    <row r="48" spans="1:8" ht="18.399999999999999" customHeight="1">
      <c r="A48" s="9" t="s">
        <v>1347</v>
      </c>
      <c r="B48" s="96">
        <v>208842</v>
      </c>
      <c r="C48" s="96">
        <v>0</v>
      </c>
      <c r="D48" s="96">
        <v>7716</v>
      </c>
      <c r="E48" s="96">
        <v>0</v>
      </c>
      <c r="F48" s="96"/>
      <c r="G48" s="96">
        <v>201126</v>
      </c>
      <c r="H48" s="96"/>
    </row>
    <row r="49" spans="1:8" ht="18.399999999999999" customHeight="1">
      <c r="A49" s="9" t="s">
        <v>1348</v>
      </c>
      <c r="B49" s="96">
        <v>27784</v>
      </c>
      <c r="C49" s="96">
        <v>27473</v>
      </c>
      <c r="D49" s="96"/>
      <c r="E49" s="96">
        <v>311</v>
      </c>
      <c r="F49" s="96"/>
      <c r="G49" s="96"/>
      <c r="H49" s="96"/>
    </row>
    <row r="50" spans="1:8" ht="18.399999999999999" customHeight="1">
      <c r="A50" s="9" t="s">
        <v>1349</v>
      </c>
      <c r="B50" s="96">
        <v>127292</v>
      </c>
      <c r="C50" s="96">
        <v>98992</v>
      </c>
      <c r="D50" s="96">
        <v>4490</v>
      </c>
      <c r="E50" s="96">
        <v>23810</v>
      </c>
      <c r="F50" s="96"/>
      <c r="G50" s="96"/>
      <c r="H50" s="96"/>
    </row>
    <row r="51" spans="1:8" ht="18.399999999999999" customHeight="1">
      <c r="A51" s="11" t="s">
        <v>1350</v>
      </c>
      <c r="B51" s="96">
        <v>787002</v>
      </c>
      <c r="C51" s="96">
        <v>786349</v>
      </c>
      <c r="D51" s="96"/>
      <c r="E51" s="96">
        <v>653</v>
      </c>
      <c r="F51" s="96"/>
      <c r="G51" s="96"/>
      <c r="H51" s="96"/>
    </row>
    <row r="52" spans="1:8" ht="18.399999999999999" customHeight="1">
      <c r="A52" s="11" t="s">
        <v>1351</v>
      </c>
      <c r="B52" s="96">
        <v>2597</v>
      </c>
      <c r="C52" s="96">
        <v>2597</v>
      </c>
      <c r="D52" s="310"/>
      <c r="E52" s="310">
        <v>0</v>
      </c>
      <c r="F52" s="310"/>
      <c r="G52" s="310"/>
      <c r="H52" s="310"/>
    </row>
    <row r="53" spans="1:8" ht="18.399999999999999" customHeight="1">
      <c r="A53" s="12" t="s">
        <v>1352</v>
      </c>
      <c r="B53" s="310">
        <v>31242</v>
      </c>
      <c r="C53" s="96">
        <v>0</v>
      </c>
      <c r="D53" s="310"/>
      <c r="E53" s="310">
        <v>31242</v>
      </c>
      <c r="F53" s="310"/>
      <c r="G53" s="310"/>
      <c r="H53" s="310"/>
    </row>
    <row r="54" spans="1:8" ht="20.100000000000001" customHeight="1">
      <c r="A54" s="12"/>
      <c r="B54" s="310"/>
      <c r="C54" s="96">
        <v>0</v>
      </c>
      <c r="D54" s="310"/>
      <c r="E54" s="310"/>
      <c r="F54" s="310"/>
      <c r="G54" s="310"/>
      <c r="H54" s="310"/>
    </row>
    <row r="55" spans="1:8" ht="20.100000000000001" customHeight="1">
      <c r="A55" s="12"/>
      <c r="B55" s="310"/>
      <c r="C55" s="96">
        <v>0</v>
      </c>
      <c r="D55" s="310"/>
      <c r="E55" s="310"/>
      <c r="F55" s="310"/>
      <c r="G55" s="310"/>
      <c r="H55" s="310"/>
    </row>
    <row r="56" spans="1:8" ht="20.100000000000001" customHeight="1">
      <c r="A56" s="13" t="s">
        <v>1125</v>
      </c>
      <c r="B56" s="96">
        <v>4783505</v>
      </c>
      <c r="C56" s="96">
        <v>4441291</v>
      </c>
      <c r="D56" s="96">
        <v>25376</v>
      </c>
      <c r="E56" s="96">
        <v>114192</v>
      </c>
      <c r="F56" s="96">
        <v>0</v>
      </c>
      <c r="G56" s="96">
        <v>202646</v>
      </c>
      <c r="H56" s="96">
        <v>0</v>
      </c>
    </row>
    <row r="57" spans="1:8" ht="20.100000000000001" customHeight="1"/>
    <row r="58" spans="1:8" ht="20.100000000000001" customHeight="1"/>
    <row r="59" spans="1:8" ht="20.100000000000001" customHeight="1"/>
    <row r="60" spans="1:8" ht="20.100000000000001" customHeight="1"/>
    <row r="61" spans="1:8" ht="20.100000000000001" customHeight="1"/>
    <row r="62" spans="1:8" ht="20.100000000000001" customHeight="1"/>
    <row r="63" spans="1:8" ht="20.100000000000001" customHeight="1"/>
  </sheetData>
  <mergeCells count="9">
    <mergeCell ref="A2:H2"/>
    <mergeCell ref="A4:A5"/>
    <mergeCell ref="B4:B5"/>
    <mergeCell ref="C4:C5"/>
    <mergeCell ref="D4:D5"/>
    <mergeCell ref="E4:E5"/>
    <mergeCell ref="F4:F5"/>
    <mergeCell ref="G4:G5"/>
    <mergeCell ref="H4:H5"/>
  </mergeCells>
  <phoneticPr fontId="14" type="noConversion"/>
  <printOptions horizontalCentered="1"/>
  <pageMargins left="0.47" right="0.47" top="0.59" bottom="0.47" header="0.31" footer="0.31"/>
  <pageSetup paperSize="9" scale="80" orientation="landscape"/>
</worksheet>
</file>

<file path=xl/worksheets/sheet2.xml><?xml version="1.0" encoding="utf-8"?>
<worksheet xmlns="http://schemas.openxmlformats.org/spreadsheetml/2006/main" xmlns:r="http://schemas.openxmlformats.org/officeDocument/2006/relationships">
  <dimension ref="A1:A16"/>
  <sheetViews>
    <sheetView showGridLines="0" showZeros="0" workbookViewId="0">
      <selection activeCell="A16" sqref="A16"/>
    </sheetView>
  </sheetViews>
  <sheetFormatPr defaultColWidth="9" defaultRowHeight="14.25"/>
  <cols>
    <col min="1" max="1" width="117.375" style="80" customWidth="1"/>
    <col min="2" max="16384" width="9" style="80"/>
  </cols>
  <sheetData>
    <row r="1" spans="1:1" ht="48.75" customHeight="1">
      <c r="A1" s="81" t="s">
        <v>8</v>
      </c>
    </row>
    <row r="2" spans="1:1" s="78" customFormat="1" ht="27.95" customHeight="1">
      <c r="A2" s="82" t="s">
        <v>9</v>
      </c>
    </row>
    <row r="3" spans="1:1" s="78" customFormat="1" ht="27.95" customHeight="1">
      <c r="A3" s="82" t="s">
        <v>10</v>
      </c>
    </row>
    <row r="4" spans="1:1" s="78" customFormat="1" ht="27.95" customHeight="1">
      <c r="A4" s="82" t="s">
        <v>11</v>
      </c>
    </row>
    <row r="5" spans="1:1" s="78" customFormat="1" ht="27.95" customHeight="1">
      <c r="A5" s="82" t="s">
        <v>12</v>
      </c>
    </row>
    <row r="6" spans="1:1" s="78" customFormat="1" ht="27.95" customHeight="1">
      <c r="A6" s="82" t="s">
        <v>13</v>
      </c>
    </row>
    <row r="7" spans="1:1" s="78" customFormat="1" ht="27.95" customHeight="1">
      <c r="A7" s="82" t="s">
        <v>14</v>
      </c>
    </row>
    <row r="8" spans="1:1" s="78" customFormat="1" ht="27.95" customHeight="1">
      <c r="A8" s="82" t="s">
        <v>15</v>
      </c>
    </row>
    <row r="9" spans="1:1" s="78" customFormat="1" ht="27.95" customHeight="1">
      <c r="A9" s="82" t="s">
        <v>16</v>
      </c>
    </row>
    <row r="10" spans="1:1" s="78" customFormat="1" ht="27.95" customHeight="1">
      <c r="A10" s="82" t="s">
        <v>17</v>
      </c>
    </row>
    <row r="11" spans="1:1" s="78" customFormat="1" ht="27.95" customHeight="1">
      <c r="A11" s="82" t="s">
        <v>18</v>
      </c>
    </row>
    <row r="12" spans="1:1" s="78" customFormat="1" ht="27.95" customHeight="1">
      <c r="A12" s="82" t="s">
        <v>19</v>
      </c>
    </row>
    <row r="13" spans="1:1" s="78" customFormat="1" ht="27.95" customHeight="1">
      <c r="A13" s="82"/>
    </row>
    <row r="14" spans="1:1" s="78" customFormat="1" ht="27.95" customHeight="1">
      <c r="A14" s="82"/>
    </row>
    <row r="15" spans="1:1" s="79" customFormat="1" ht="27.95" customHeight="1">
      <c r="A15" s="82"/>
    </row>
    <row r="16" spans="1:1" ht="27.95" customHeight="1">
      <c r="A16" s="82"/>
    </row>
  </sheetData>
  <phoneticPr fontId="14" type="noConversion"/>
  <printOptions horizontalCentered="1"/>
  <pageMargins left="0.75" right="0.75" top="0.44" bottom="0.66" header="0.22" footer="0.51"/>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D38"/>
  <sheetViews>
    <sheetView showGridLines="0" showZeros="0" zoomScale="93" zoomScaleNormal="93" workbookViewId="0">
      <pane xSplit="1" ySplit="4" topLeftCell="B5" activePane="bottomRight" state="frozen"/>
      <selection pane="topRight" activeCell="B1" sqref="B1"/>
      <selection pane="bottomLeft" activeCell="A5" sqref="A5"/>
      <selection pane="bottomRight" activeCell="B33" sqref="B33"/>
    </sheetView>
  </sheetViews>
  <sheetFormatPr defaultColWidth="9" defaultRowHeight="13.5"/>
  <cols>
    <col min="1" max="1" width="56.75" style="25" customWidth="1"/>
    <col min="2" max="4" width="30.625" style="25" customWidth="1"/>
    <col min="5" max="16384" width="9" style="25"/>
  </cols>
  <sheetData>
    <row r="1" spans="1:4" ht="18" customHeight="1">
      <c r="A1" s="26" t="s">
        <v>20</v>
      </c>
    </row>
    <row r="2" spans="1:4" s="24" customFormat="1" ht="20.25">
      <c r="A2" s="351" t="s">
        <v>21</v>
      </c>
      <c r="B2" s="351"/>
      <c r="C2" s="351"/>
      <c r="D2" s="351"/>
    </row>
    <row r="3" spans="1:4" ht="20.25" customHeight="1">
      <c r="D3" s="27" t="s">
        <v>22</v>
      </c>
    </row>
    <row r="4" spans="1:4" ht="31.5" customHeight="1">
      <c r="A4" s="32" t="s">
        <v>23</v>
      </c>
      <c r="B4" s="20" t="s">
        <v>24</v>
      </c>
      <c r="C4" s="32" t="s">
        <v>25</v>
      </c>
      <c r="D4" s="32" t="s">
        <v>26</v>
      </c>
    </row>
    <row r="5" spans="1:4" ht="20.100000000000001" customHeight="1">
      <c r="A5" s="7" t="s">
        <v>27</v>
      </c>
      <c r="B5" s="96">
        <f>SUM(B6:B21)</f>
        <v>9101938</v>
      </c>
      <c r="C5" s="99">
        <v>10580850</v>
      </c>
      <c r="D5" s="104">
        <f t="shared" ref="D5:D33" si="0">IF(B5=0,"",ROUND(C5/B5,3))</f>
        <v>1.1619999999999999</v>
      </c>
    </row>
    <row r="6" spans="1:4" ht="20.100000000000001" customHeight="1">
      <c r="A6" s="7" t="s">
        <v>28</v>
      </c>
      <c r="B6" s="96">
        <v>3396269</v>
      </c>
      <c r="C6" s="100">
        <v>4073700</v>
      </c>
      <c r="D6" s="104">
        <f t="shared" si="0"/>
        <v>1.1990000000000001</v>
      </c>
    </row>
    <row r="7" spans="1:4" ht="20.100000000000001" customHeight="1">
      <c r="A7" s="7" t="s">
        <v>29</v>
      </c>
      <c r="B7" s="96">
        <v>1085851</v>
      </c>
      <c r="C7" s="100">
        <v>1297618</v>
      </c>
      <c r="D7" s="104">
        <f t="shared" si="0"/>
        <v>1.1950000000000001</v>
      </c>
    </row>
    <row r="8" spans="1:4" ht="20.100000000000001" customHeight="1">
      <c r="A8" s="7" t="s">
        <v>30</v>
      </c>
      <c r="B8" s="96"/>
      <c r="C8" s="100">
        <v>0</v>
      </c>
      <c r="D8" s="104" t="str">
        <f t="shared" si="0"/>
        <v/>
      </c>
    </row>
    <row r="9" spans="1:4" ht="20.100000000000001" customHeight="1">
      <c r="A9" s="7" t="s">
        <v>31</v>
      </c>
      <c r="B9" s="96">
        <v>446846</v>
      </c>
      <c r="C9" s="100">
        <v>511208</v>
      </c>
      <c r="D9" s="104">
        <f t="shared" si="0"/>
        <v>1.1439999999999999</v>
      </c>
    </row>
    <row r="10" spans="1:4" ht="20.100000000000001" customHeight="1">
      <c r="A10" s="7" t="s">
        <v>32</v>
      </c>
      <c r="B10" s="96">
        <v>821888</v>
      </c>
      <c r="C10" s="100">
        <v>928580</v>
      </c>
      <c r="D10" s="104">
        <f t="shared" si="0"/>
        <v>1.1299999999999999</v>
      </c>
    </row>
    <row r="11" spans="1:4" ht="20.100000000000001" customHeight="1">
      <c r="A11" s="7" t="s">
        <v>33</v>
      </c>
      <c r="B11" s="96">
        <v>539851</v>
      </c>
      <c r="C11" s="100">
        <v>608796</v>
      </c>
      <c r="D11" s="104">
        <f t="shared" si="0"/>
        <v>1.1279999999999999</v>
      </c>
    </row>
    <row r="12" spans="1:4" ht="20.100000000000001" customHeight="1">
      <c r="A12" s="7" t="s">
        <v>34</v>
      </c>
      <c r="B12" s="96">
        <v>425607</v>
      </c>
      <c r="C12" s="100">
        <v>491701</v>
      </c>
      <c r="D12" s="104">
        <f t="shared" si="0"/>
        <v>1.155</v>
      </c>
    </row>
    <row r="13" spans="1:4" ht="20.100000000000001" customHeight="1">
      <c r="A13" s="7" t="s">
        <v>35</v>
      </c>
      <c r="B13" s="96">
        <v>219099</v>
      </c>
      <c r="C13" s="100">
        <v>245909</v>
      </c>
      <c r="D13" s="104">
        <f t="shared" si="0"/>
        <v>1.1220000000000001</v>
      </c>
    </row>
    <row r="14" spans="1:4" ht="20.100000000000001" customHeight="1">
      <c r="A14" s="7" t="s">
        <v>36</v>
      </c>
      <c r="B14" s="96">
        <v>526334</v>
      </c>
      <c r="C14" s="100">
        <v>637428</v>
      </c>
      <c r="D14" s="104">
        <f t="shared" si="0"/>
        <v>1.2110000000000001</v>
      </c>
    </row>
    <row r="15" spans="1:4" ht="20.100000000000001" customHeight="1">
      <c r="A15" s="7" t="s">
        <v>37</v>
      </c>
      <c r="B15" s="96">
        <v>378483</v>
      </c>
      <c r="C15" s="100">
        <v>447754</v>
      </c>
      <c r="D15" s="104">
        <f t="shared" si="0"/>
        <v>1.1830000000000001</v>
      </c>
    </row>
    <row r="16" spans="1:4" ht="20.100000000000001" customHeight="1">
      <c r="A16" s="7" t="s">
        <v>38</v>
      </c>
      <c r="B16" s="96">
        <v>201290</v>
      </c>
      <c r="C16" s="100">
        <v>223416</v>
      </c>
      <c r="D16" s="104">
        <f t="shared" si="0"/>
        <v>1.1100000000000001</v>
      </c>
    </row>
    <row r="17" spans="1:4" ht="20.100000000000001" customHeight="1">
      <c r="A17" s="7" t="s">
        <v>39</v>
      </c>
      <c r="B17" s="96">
        <v>480738</v>
      </c>
      <c r="C17" s="100">
        <v>466154</v>
      </c>
      <c r="D17" s="104">
        <f t="shared" si="0"/>
        <v>0.97</v>
      </c>
    </row>
    <row r="18" spans="1:4" ht="20.100000000000001" customHeight="1">
      <c r="A18" s="7" t="s">
        <v>40</v>
      </c>
      <c r="B18" s="96">
        <v>531999</v>
      </c>
      <c r="C18" s="100">
        <v>598079</v>
      </c>
      <c r="D18" s="104">
        <f t="shared" si="0"/>
        <v>1.1240000000000001</v>
      </c>
    </row>
    <row r="19" spans="1:4" ht="20.100000000000001" customHeight="1">
      <c r="A19" s="7" t="s">
        <v>41</v>
      </c>
      <c r="B19" s="96"/>
      <c r="C19" s="99">
        <v>0</v>
      </c>
      <c r="D19" s="104" t="str">
        <f t="shared" si="0"/>
        <v/>
      </c>
    </row>
    <row r="20" spans="1:4" ht="20.100000000000001" customHeight="1">
      <c r="A20" s="7" t="s">
        <v>42</v>
      </c>
      <c r="B20" s="96">
        <v>43831</v>
      </c>
      <c r="C20" s="100">
        <v>46756</v>
      </c>
      <c r="D20" s="104">
        <f t="shared" si="0"/>
        <v>1.0669999999999999</v>
      </c>
    </row>
    <row r="21" spans="1:4" ht="20.100000000000001" customHeight="1">
      <c r="A21" s="7" t="s">
        <v>43</v>
      </c>
      <c r="B21" s="96">
        <v>3852</v>
      </c>
      <c r="C21" s="99">
        <v>3751</v>
      </c>
      <c r="D21" s="104">
        <f t="shared" si="0"/>
        <v>0.97399999999999998</v>
      </c>
    </row>
    <row r="22" spans="1:4" ht="21" customHeight="1">
      <c r="A22" s="7" t="s">
        <v>44</v>
      </c>
      <c r="B22" s="96">
        <f>SUM(B23:B30)</f>
        <v>5670228</v>
      </c>
      <c r="C22" s="99">
        <v>4854047</v>
      </c>
      <c r="D22" s="104">
        <f t="shared" si="0"/>
        <v>0.85599999999999998</v>
      </c>
    </row>
    <row r="23" spans="1:4" ht="20.100000000000001" customHeight="1">
      <c r="A23" s="7" t="s">
        <v>45</v>
      </c>
      <c r="B23" s="96">
        <v>1246052</v>
      </c>
      <c r="C23" s="100">
        <v>1251421</v>
      </c>
      <c r="D23" s="104">
        <f t="shared" si="0"/>
        <v>1.004</v>
      </c>
    </row>
    <row r="24" spans="1:4" ht="20.100000000000001" customHeight="1">
      <c r="A24" s="7" t="s">
        <v>46</v>
      </c>
      <c r="B24" s="96">
        <v>609841</v>
      </c>
      <c r="C24" s="100">
        <v>622368</v>
      </c>
      <c r="D24" s="104">
        <f t="shared" si="0"/>
        <v>1.0209999999999999</v>
      </c>
    </row>
    <row r="25" spans="1:4" ht="20.100000000000001" customHeight="1">
      <c r="A25" s="7" t="s">
        <v>47</v>
      </c>
      <c r="B25" s="96">
        <v>520265</v>
      </c>
      <c r="C25" s="100">
        <v>512801</v>
      </c>
      <c r="D25" s="104">
        <f t="shared" si="0"/>
        <v>0.98599999999999999</v>
      </c>
    </row>
    <row r="26" spans="1:4" ht="20.100000000000001" customHeight="1">
      <c r="A26" s="7" t="s">
        <v>48</v>
      </c>
      <c r="B26" s="96">
        <v>511347</v>
      </c>
      <c r="C26" s="99">
        <v>341006</v>
      </c>
      <c r="D26" s="104">
        <f t="shared" si="0"/>
        <v>0.66700000000000004</v>
      </c>
    </row>
    <row r="27" spans="1:4" ht="20.100000000000001" customHeight="1">
      <c r="A27" s="7" t="s">
        <v>49</v>
      </c>
      <c r="B27" s="96">
        <v>2150263</v>
      </c>
      <c r="C27" s="100">
        <v>1552381</v>
      </c>
      <c r="D27" s="104">
        <f t="shared" si="0"/>
        <v>0.72199999999999998</v>
      </c>
    </row>
    <row r="28" spans="1:4" ht="20.100000000000001" customHeight="1">
      <c r="A28" s="7" t="s">
        <v>50</v>
      </c>
      <c r="B28" s="96">
        <v>93505</v>
      </c>
      <c r="C28" s="99">
        <v>28211</v>
      </c>
      <c r="D28" s="104">
        <f t="shared" si="0"/>
        <v>0.30199999999999999</v>
      </c>
    </row>
    <row r="29" spans="1:4" s="77" customFormat="1" ht="20.100000000000001" customHeight="1">
      <c r="A29" s="7" t="s">
        <v>51</v>
      </c>
      <c r="B29" s="98">
        <v>219882</v>
      </c>
      <c r="C29" s="99">
        <v>208971</v>
      </c>
      <c r="D29" s="104">
        <f t="shared" si="0"/>
        <v>0.95</v>
      </c>
    </row>
    <row r="30" spans="1:4" s="77" customFormat="1" ht="20.100000000000001" customHeight="1">
      <c r="A30" s="7" t="s">
        <v>52</v>
      </c>
      <c r="B30" s="98">
        <v>319073</v>
      </c>
      <c r="C30" s="100">
        <v>336888</v>
      </c>
      <c r="D30" s="104">
        <f t="shared" si="0"/>
        <v>1.056</v>
      </c>
    </row>
    <row r="31" spans="1:4" s="77" customFormat="1" ht="20.100000000000001" customHeight="1">
      <c r="A31" s="7" t="s">
        <v>0</v>
      </c>
      <c r="B31" s="97"/>
      <c r="C31" s="101">
        <v>0</v>
      </c>
      <c r="D31" s="104" t="str">
        <f t="shared" si="0"/>
        <v/>
      </c>
    </row>
    <row r="32" spans="1:4" ht="20.100000000000001" customHeight="1">
      <c r="A32" s="7" t="s">
        <v>0</v>
      </c>
      <c r="B32" s="96"/>
      <c r="C32" s="99">
        <v>0</v>
      </c>
      <c r="D32" s="104" t="str">
        <f t="shared" si="0"/>
        <v/>
      </c>
    </row>
    <row r="33" spans="1:4" ht="20.100000000000001" customHeight="1">
      <c r="A33" s="13" t="s">
        <v>53</v>
      </c>
      <c r="B33" s="96">
        <f>SUM(B5,B22)</f>
        <v>14772166</v>
      </c>
      <c r="C33" s="99">
        <v>15434897</v>
      </c>
      <c r="D33" s="104">
        <f t="shared" si="0"/>
        <v>1.0449999999999999</v>
      </c>
    </row>
    <row r="34" spans="1:4" ht="18.75" customHeight="1">
      <c r="A34" s="352" t="s">
        <v>0</v>
      </c>
      <c r="B34" s="352"/>
      <c r="C34" s="352"/>
      <c r="D34" s="352"/>
    </row>
    <row r="35" spans="1:4" ht="20.100000000000001" customHeight="1"/>
    <row r="36" spans="1:4" ht="20.100000000000001" customHeight="1"/>
    <row r="37" spans="1:4" ht="20.100000000000001" customHeight="1"/>
    <row r="38" spans="1:4" ht="20.100000000000001" customHeight="1"/>
  </sheetData>
  <mergeCells count="2">
    <mergeCell ref="A2:D2"/>
    <mergeCell ref="A34:D34"/>
  </mergeCells>
  <phoneticPr fontId="14" type="noConversion"/>
  <printOptions horizontalCentered="1"/>
  <pageMargins left="0.47244094488188998" right="0.47244094488188998" top="0.196850393700787" bottom="7.8740157480315001E-2" header="0" footer="0"/>
  <pageSetup paperSize="9" scale="80" orientation="landscape" r:id="rId1"/>
</worksheet>
</file>

<file path=xl/worksheets/sheet4.xml><?xml version="1.0" encoding="utf-8"?>
<worksheet xmlns="http://schemas.openxmlformats.org/spreadsheetml/2006/main" xmlns:r="http://schemas.openxmlformats.org/officeDocument/2006/relationships">
  <dimension ref="A1:E1268"/>
  <sheetViews>
    <sheetView zoomScale="90" zoomScaleNormal="90" workbookViewId="0">
      <pane xSplit="1" ySplit="4" topLeftCell="B1237" activePane="bottomRight" state="frozen"/>
      <selection pane="topRight" activeCell="B1" sqref="B1"/>
      <selection pane="bottomLeft" activeCell="A5" sqref="A5"/>
      <selection pane="bottomRight" activeCell="B1265" sqref="B1265"/>
    </sheetView>
  </sheetViews>
  <sheetFormatPr defaultColWidth="9" defaultRowHeight="13.5"/>
  <cols>
    <col min="1" max="1" width="41.75" style="31" customWidth="1"/>
    <col min="2" max="3" width="16.375" style="286" customWidth="1"/>
    <col min="4" max="5" width="16.375" style="31" customWidth="1"/>
    <col min="6" max="16384" width="9" style="31"/>
  </cols>
  <sheetData>
    <row r="1" spans="1:5" ht="14.25">
      <c r="A1" s="75" t="s">
        <v>54</v>
      </c>
      <c r="E1" s="76" t="s">
        <v>0</v>
      </c>
    </row>
    <row r="2" spans="1:5" s="50" customFormat="1" ht="20.25">
      <c r="A2" s="353" t="s">
        <v>55</v>
      </c>
      <c r="B2" s="353"/>
      <c r="C2" s="353"/>
      <c r="D2" s="353"/>
      <c r="E2" s="353"/>
    </row>
    <row r="3" spans="1:5">
      <c r="E3" s="76" t="s">
        <v>22</v>
      </c>
    </row>
    <row r="4" spans="1:5" ht="45.75" customHeight="1">
      <c r="A4" s="87" t="s">
        <v>23</v>
      </c>
      <c r="B4" s="287" t="s">
        <v>24</v>
      </c>
      <c r="C4" s="288" t="s">
        <v>25</v>
      </c>
      <c r="D4" s="88" t="s">
        <v>26</v>
      </c>
      <c r="E4" s="87" t="s">
        <v>56</v>
      </c>
    </row>
    <row r="5" spans="1:5">
      <c r="A5" s="89" t="s">
        <v>57</v>
      </c>
      <c r="B5" s="102">
        <v>4740230</v>
      </c>
      <c r="C5" s="289">
        <v>4085493</v>
      </c>
      <c r="D5" s="105">
        <f t="shared" ref="D5:D68" si="0">IF(B5=0,"",ROUND(C5/B5,3))</f>
        <v>0.86199999999999999</v>
      </c>
      <c r="E5" s="89"/>
    </row>
    <row r="6" spans="1:5">
      <c r="A6" s="90" t="s">
        <v>58</v>
      </c>
      <c r="B6" s="102">
        <v>62699</v>
      </c>
      <c r="C6" s="289">
        <v>61020</v>
      </c>
      <c r="D6" s="105">
        <f t="shared" si="0"/>
        <v>0.97299999999999998</v>
      </c>
      <c r="E6" s="89"/>
    </row>
    <row r="7" spans="1:5">
      <c r="A7" s="90" t="s">
        <v>59</v>
      </c>
      <c r="B7" s="103">
        <v>47179</v>
      </c>
      <c r="C7" s="289">
        <v>47123</v>
      </c>
      <c r="D7" s="105">
        <f t="shared" si="0"/>
        <v>0.999</v>
      </c>
      <c r="E7" s="89"/>
    </row>
    <row r="8" spans="1:5">
      <c r="A8" s="90" t="s">
        <v>60</v>
      </c>
      <c r="B8" s="103">
        <v>2562</v>
      </c>
      <c r="C8" s="289">
        <v>2674</v>
      </c>
      <c r="D8" s="105">
        <f t="shared" si="0"/>
        <v>1.044</v>
      </c>
      <c r="E8" s="89"/>
    </row>
    <row r="9" spans="1:5">
      <c r="A9" s="91" t="s">
        <v>61</v>
      </c>
      <c r="B9" s="103">
        <v>1230</v>
      </c>
      <c r="C9" s="289">
        <v>2555</v>
      </c>
      <c r="D9" s="105">
        <f t="shared" si="0"/>
        <v>2.077</v>
      </c>
      <c r="E9" s="89"/>
    </row>
    <row r="10" spans="1:5">
      <c r="A10" s="91" t="s">
        <v>62</v>
      </c>
      <c r="B10" s="103">
        <v>2419</v>
      </c>
      <c r="C10" s="289">
        <v>2852</v>
      </c>
      <c r="D10" s="105">
        <f t="shared" si="0"/>
        <v>1.179</v>
      </c>
      <c r="E10" s="89"/>
    </row>
    <row r="11" spans="1:5">
      <c r="A11" s="91" t="s">
        <v>63</v>
      </c>
      <c r="B11" s="103">
        <v>145</v>
      </c>
      <c r="C11" s="289">
        <v>171</v>
      </c>
      <c r="D11" s="105">
        <f t="shared" si="0"/>
        <v>1.179</v>
      </c>
      <c r="E11" s="89"/>
    </row>
    <row r="12" spans="1:5">
      <c r="A12" s="89" t="s">
        <v>64</v>
      </c>
      <c r="B12" s="103">
        <v>604</v>
      </c>
      <c r="C12" s="289">
        <v>396</v>
      </c>
      <c r="D12" s="105">
        <f t="shared" si="0"/>
        <v>0.65600000000000003</v>
      </c>
      <c r="E12" s="89"/>
    </row>
    <row r="13" spans="1:5">
      <c r="A13" s="89" t="s">
        <v>65</v>
      </c>
      <c r="B13" s="103">
        <v>269</v>
      </c>
      <c r="C13" s="289">
        <v>311</v>
      </c>
      <c r="D13" s="105">
        <f t="shared" si="0"/>
        <v>1.1559999999999999</v>
      </c>
      <c r="E13" s="89"/>
    </row>
    <row r="14" spans="1:5">
      <c r="A14" s="89" t="s">
        <v>66</v>
      </c>
      <c r="B14" s="103">
        <v>1146</v>
      </c>
      <c r="C14" s="289">
        <v>1013</v>
      </c>
      <c r="D14" s="105">
        <f t="shared" si="0"/>
        <v>0.88400000000000001</v>
      </c>
      <c r="E14" s="89"/>
    </row>
    <row r="15" spans="1:5">
      <c r="A15" s="89" t="s">
        <v>67</v>
      </c>
      <c r="B15" s="103">
        <v>1</v>
      </c>
      <c r="C15" s="289">
        <v>1</v>
      </c>
      <c r="D15" s="105">
        <f t="shared" si="0"/>
        <v>1</v>
      </c>
      <c r="E15" s="89"/>
    </row>
    <row r="16" spans="1:5">
      <c r="A16" s="89" t="s">
        <v>68</v>
      </c>
      <c r="B16" s="103">
        <v>1403</v>
      </c>
      <c r="C16" s="289">
        <v>1151</v>
      </c>
      <c r="D16" s="105">
        <f t="shared" si="0"/>
        <v>0.82</v>
      </c>
      <c r="E16" s="89"/>
    </row>
    <row r="17" spans="1:5">
      <c r="A17" s="89" t="s">
        <v>69</v>
      </c>
      <c r="B17" s="103">
        <v>5741</v>
      </c>
      <c r="C17" s="289">
        <v>2773</v>
      </c>
      <c r="D17" s="105">
        <f t="shared" si="0"/>
        <v>0.48299999999999998</v>
      </c>
      <c r="E17" s="89"/>
    </row>
    <row r="18" spans="1:5">
      <c r="A18" s="90" t="s">
        <v>70</v>
      </c>
      <c r="B18" s="102">
        <v>44119</v>
      </c>
      <c r="C18" s="289">
        <v>43420</v>
      </c>
      <c r="D18" s="105">
        <f t="shared" si="0"/>
        <v>0.98399999999999999</v>
      </c>
      <c r="E18" s="89"/>
    </row>
    <row r="19" spans="1:5">
      <c r="A19" s="90" t="s">
        <v>59</v>
      </c>
      <c r="B19" s="290">
        <v>36841</v>
      </c>
      <c r="C19" s="289">
        <v>35045</v>
      </c>
      <c r="D19" s="105">
        <f t="shared" si="0"/>
        <v>0.95099999999999996</v>
      </c>
      <c r="E19" s="89"/>
    </row>
    <row r="20" spans="1:5">
      <c r="A20" s="90" t="s">
        <v>60</v>
      </c>
      <c r="B20" s="290">
        <v>1200</v>
      </c>
      <c r="C20" s="289">
        <v>2883</v>
      </c>
      <c r="D20" s="105">
        <f t="shared" si="0"/>
        <v>2.403</v>
      </c>
      <c r="E20" s="89"/>
    </row>
    <row r="21" spans="1:5">
      <c r="A21" s="91" t="s">
        <v>61</v>
      </c>
      <c r="B21" s="290">
        <v>988</v>
      </c>
      <c r="C21" s="289">
        <v>1285</v>
      </c>
      <c r="D21" s="105">
        <f t="shared" si="0"/>
        <v>1.3009999999999999</v>
      </c>
      <c r="E21" s="89"/>
    </row>
    <row r="22" spans="1:5">
      <c r="A22" s="91" t="s">
        <v>71</v>
      </c>
      <c r="B22" s="290">
        <v>1344</v>
      </c>
      <c r="C22" s="289">
        <v>1406</v>
      </c>
      <c r="D22" s="105">
        <f t="shared" si="0"/>
        <v>1.046</v>
      </c>
      <c r="E22" s="89"/>
    </row>
    <row r="23" spans="1:5">
      <c r="A23" s="91" t="s">
        <v>72</v>
      </c>
      <c r="B23" s="290">
        <v>175</v>
      </c>
      <c r="C23" s="289">
        <v>130</v>
      </c>
      <c r="D23" s="105">
        <f t="shared" si="0"/>
        <v>0.74299999999999999</v>
      </c>
      <c r="E23" s="89"/>
    </row>
    <row r="24" spans="1:5">
      <c r="A24" s="91" t="s">
        <v>73</v>
      </c>
      <c r="B24" s="290">
        <v>445</v>
      </c>
      <c r="C24" s="289">
        <v>750</v>
      </c>
      <c r="D24" s="105">
        <f t="shared" si="0"/>
        <v>1.6850000000000001</v>
      </c>
      <c r="E24" s="89"/>
    </row>
    <row r="25" spans="1:5">
      <c r="A25" s="91" t="s">
        <v>68</v>
      </c>
      <c r="B25" s="290">
        <v>56</v>
      </c>
      <c r="C25" s="289">
        <v>275</v>
      </c>
      <c r="D25" s="105">
        <f t="shared" si="0"/>
        <v>4.9109999999999996</v>
      </c>
      <c r="E25" s="89"/>
    </row>
    <row r="26" spans="1:5">
      <c r="A26" s="91" t="s">
        <v>74</v>
      </c>
      <c r="B26" s="290">
        <v>3070</v>
      </c>
      <c r="C26" s="289">
        <v>1646</v>
      </c>
      <c r="D26" s="105">
        <f t="shared" si="0"/>
        <v>0.53600000000000003</v>
      </c>
      <c r="E26" s="89"/>
    </row>
    <row r="27" spans="1:5">
      <c r="A27" s="90" t="s">
        <v>75</v>
      </c>
      <c r="B27" s="102">
        <v>1905491</v>
      </c>
      <c r="C27" s="289">
        <v>1647114</v>
      </c>
      <c r="D27" s="105">
        <f t="shared" si="0"/>
        <v>0.86399999999999999</v>
      </c>
      <c r="E27" s="89"/>
    </row>
    <row r="28" spans="1:5">
      <c r="A28" s="90" t="s">
        <v>59</v>
      </c>
      <c r="B28" s="290">
        <v>1297888</v>
      </c>
      <c r="C28" s="289">
        <v>1191827</v>
      </c>
      <c r="D28" s="105">
        <f t="shared" si="0"/>
        <v>0.91800000000000004</v>
      </c>
      <c r="E28" s="89"/>
    </row>
    <row r="29" spans="1:5">
      <c r="A29" s="90" t="s">
        <v>60</v>
      </c>
      <c r="B29" s="290">
        <v>137988</v>
      </c>
      <c r="C29" s="289">
        <v>84365</v>
      </c>
      <c r="D29" s="105">
        <f t="shared" si="0"/>
        <v>0.61099999999999999</v>
      </c>
      <c r="E29" s="89"/>
    </row>
    <row r="30" spans="1:5">
      <c r="A30" s="91" t="s">
        <v>61</v>
      </c>
      <c r="B30" s="290">
        <v>81064</v>
      </c>
      <c r="C30" s="289">
        <v>79463</v>
      </c>
      <c r="D30" s="105">
        <f t="shared" si="0"/>
        <v>0.98</v>
      </c>
      <c r="E30" s="89"/>
    </row>
    <row r="31" spans="1:5">
      <c r="A31" s="91" t="s">
        <v>76</v>
      </c>
      <c r="B31" s="290">
        <v>1133</v>
      </c>
      <c r="C31" s="289">
        <v>1347</v>
      </c>
      <c r="D31" s="105">
        <f t="shared" si="0"/>
        <v>1.1890000000000001</v>
      </c>
      <c r="E31" s="89"/>
    </row>
    <row r="32" spans="1:5">
      <c r="A32" s="91" t="s">
        <v>77</v>
      </c>
      <c r="B32" s="290">
        <v>4162</v>
      </c>
      <c r="C32" s="289">
        <v>519</v>
      </c>
      <c r="D32" s="105">
        <f t="shared" si="0"/>
        <v>0.125</v>
      </c>
      <c r="E32" s="89"/>
    </row>
    <row r="33" spans="1:5">
      <c r="A33" s="90" t="s">
        <v>78</v>
      </c>
      <c r="B33" s="290">
        <v>1703</v>
      </c>
      <c r="C33" s="289">
        <v>2344</v>
      </c>
      <c r="D33" s="105">
        <f t="shared" si="0"/>
        <v>1.3759999999999999</v>
      </c>
      <c r="E33" s="89"/>
    </row>
    <row r="34" spans="1:5">
      <c r="A34" s="90" t="s">
        <v>79</v>
      </c>
      <c r="B34" s="290">
        <v>6268</v>
      </c>
      <c r="C34" s="289">
        <v>4972</v>
      </c>
      <c r="D34" s="105">
        <f t="shared" si="0"/>
        <v>0.79300000000000004</v>
      </c>
      <c r="E34" s="89"/>
    </row>
    <row r="35" spans="1:5">
      <c r="A35" s="91" t="s">
        <v>80</v>
      </c>
      <c r="B35" s="290">
        <v>66</v>
      </c>
      <c r="C35" s="291">
        <v>5</v>
      </c>
      <c r="D35" s="105">
        <f t="shared" si="0"/>
        <v>7.5999999999999998E-2</v>
      </c>
      <c r="E35" s="89"/>
    </row>
    <row r="36" spans="1:5">
      <c r="A36" s="91" t="s">
        <v>68</v>
      </c>
      <c r="B36" s="290">
        <v>188647</v>
      </c>
      <c r="C36" s="289">
        <v>175739</v>
      </c>
      <c r="D36" s="105">
        <f t="shared" si="0"/>
        <v>0.93200000000000005</v>
      </c>
      <c r="E36" s="89"/>
    </row>
    <row r="37" spans="1:5">
      <c r="A37" s="91" t="s">
        <v>81</v>
      </c>
      <c r="B37" s="290">
        <v>186572</v>
      </c>
      <c r="C37" s="289">
        <v>106533</v>
      </c>
      <c r="D37" s="105">
        <f t="shared" si="0"/>
        <v>0.57099999999999995</v>
      </c>
      <c r="E37" s="89"/>
    </row>
    <row r="38" spans="1:5">
      <c r="A38" s="90" t="s">
        <v>82</v>
      </c>
      <c r="B38" s="102">
        <v>123888</v>
      </c>
      <c r="C38" s="289">
        <v>227524</v>
      </c>
      <c r="D38" s="105">
        <f t="shared" si="0"/>
        <v>1.837</v>
      </c>
      <c r="E38" s="89"/>
    </row>
    <row r="39" spans="1:5">
      <c r="A39" s="90" t="s">
        <v>59</v>
      </c>
      <c r="B39" s="290">
        <v>52751</v>
      </c>
      <c r="C39" s="289">
        <v>47550</v>
      </c>
      <c r="D39" s="105">
        <f t="shared" si="0"/>
        <v>0.90100000000000002</v>
      </c>
      <c r="E39" s="89"/>
    </row>
    <row r="40" spans="1:5">
      <c r="A40" s="90" t="s">
        <v>60</v>
      </c>
      <c r="B40" s="290">
        <v>14388</v>
      </c>
      <c r="C40" s="291">
        <v>10103</v>
      </c>
      <c r="D40" s="105">
        <f t="shared" si="0"/>
        <v>0.70199999999999996</v>
      </c>
      <c r="E40" s="89"/>
    </row>
    <row r="41" spans="1:5">
      <c r="A41" s="91" t="s">
        <v>61</v>
      </c>
      <c r="B41" s="290">
        <v>1136</v>
      </c>
      <c r="C41" s="289">
        <v>946</v>
      </c>
      <c r="D41" s="105">
        <f t="shared" si="0"/>
        <v>0.83299999999999996</v>
      </c>
      <c r="E41" s="89"/>
    </row>
    <row r="42" spans="1:5">
      <c r="A42" s="91" t="s">
        <v>83</v>
      </c>
      <c r="B42" s="290">
        <v>920</v>
      </c>
      <c r="C42" s="291">
        <v>502</v>
      </c>
      <c r="D42" s="105">
        <f t="shared" si="0"/>
        <v>0.54600000000000004</v>
      </c>
      <c r="E42" s="89"/>
    </row>
    <row r="43" spans="1:5">
      <c r="A43" s="91" t="s">
        <v>84</v>
      </c>
      <c r="B43" s="290">
        <v>0</v>
      </c>
      <c r="C43" s="291">
        <v>0</v>
      </c>
      <c r="D43" s="105" t="str">
        <f t="shared" si="0"/>
        <v/>
      </c>
      <c r="E43" s="89"/>
    </row>
    <row r="44" spans="1:5">
      <c r="A44" s="90" t="s">
        <v>85</v>
      </c>
      <c r="B44" s="290">
        <v>3614</v>
      </c>
      <c r="C44" s="291">
        <v>896</v>
      </c>
      <c r="D44" s="105">
        <f t="shared" si="0"/>
        <v>0.248</v>
      </c>
      <c r="E44" s="89"/>
    </row>
    <row r="45" spans="1:5">
      <c r="A45" s="90" t="s">
        <v>86</v>
      </c>
      <c r="B45" s="290">
        <v>86</v>
      </c>
      <c r="C45" s="291">
        <v>86</v>
      </c>
      <c r="D45" s="105">
        <f t="shared" si="0"/>
        <v>1</v>
      </c>
      <c r="E45" s="89"/>
    </row>
    <row r="46" spans="1:5">
      <c r="A46" s="90" t="s">
        <v>87</v>
      </c>
      <c r="B46" s="290">
        <v>1061</v>
      </c>
      <c r="C46" s="289">
        <v>695</v>
      </c>
      <c r="D46" s="105">
        <f t="shared" si="0"/>
        <v>0.65500000000000003</v>
      </c>
      <c r="E46" s="89"/>
    </row>
    <row r="47" spans="1:5">
      <c r="A47" s="90" t="s">
        <v>68</v>
      </c>
      <c r="B47" s="290">
        <v>8199</v>
      </c>
      <c r="C47" s="289">
        <v>7142</v>
      </c>
      <c r="D47" s="105">
        <f t="shared" si="0"/>
        <v>0.871</v>
      </c>
      <c r="E47" s="89"/>
    </row>
    <row r="48" spans="1:5">
      <c r="A48" s="91" t="s">
        <v>88</v>
      </c>
      <c r="B48" s="290">
        <v>41733</v>
      </c>
      <c r="C48" s="289">
        <v>159604</v>
      </c>
      <c r="D48" s="105">
        <f t="shared" si="0"/>
        <v>3.8239999999999998</v>
      </c>
      <c r="E48" s="89"/>
    </row>
    <row r="49" spans="1:5">
      <c r="A49" s="91" t="s">
        <v>89</v>
      </c>
      <c r="B49" s="102">
        <v>56220</v>
      </c>
      <c r="C49" s="289">
        <v>35310</v>
      </c>
      <c r="D49" s="105">
        <f t="shared" si="0"/>
        <v>0.628</v>
      </c>
      <c r="E49" s="89"/>
    </row>
    <row r="50" spans="1:5">
      <c r="A50" s="91" t="s">
        <v>59</v>
      </c>
      <c r="B50" s="290">
        <v>20980</v>
      </c>
      <c r="C50" s="289">
        <v>19293</v>
      </c>
      <c r="D50" s="105">
        <f t="shared" si="0"/>
        <v>0.92</v>
      </c>
      <c r="E50" s="89"/>
    </row>
    <row r="51" spans="1:5">
      <c r="A51" s="89" t="s">
        <v>60</v>
      </c>
      <c r="B51" s="290">
        <v>964</v>
      </c>
      <c r="C51" s="289">
        <v>480</v>
      </c>
      <c r="D51" s="105">
        <f t="shared" si="0"/>
        <v>0.498</v>
      </c>
      <c r="E51" s="89"/>
    </row>
    <row r="52" spans="1:5">
      <c r="A52" s="90" t="s">
        <v>61</v>
      </c>
      <c r="B52" s="290">
        <v>241</v>
      </c>
      <c r="C52" s="289">
        <v>327</v>
      </c>
      <c r="D52" s="105">
        <f t="shared" si="0"/>
        <v>1.357</v>
      </c>
      <c r="E52" s="89"/>
    </row>
    <row r="53" spans="1:5">
      <c r="A53" s="90" t="s">
        <v>90</v>
      </c>
      <c r="B53" s="290">
        <v>3453</v>
      </c>
      <c r="C53" s="289">
        <v>1076</v>
      </c>
      <c r="D53" s="105">
        <f t="shared" si="0"/>
        <v>0.312</v>
      </c>
      <c r="E53" s="89"/>
    </row>
    <row r="54" spans="1:5">
      <c r="A54" s="90" t="s">
        <v>91</v>
      </c>
      <c r="B54" s="290">
        <v>2058</v>
      </c>
      <c r="C54" s="289">
        <v>1295</v>
      </c>
      <c r="D54" s="105">
        <f t="shared" si="0"/>
        <v>0.629</v>
      </c>
      <c r="E54" s="89"/>
    </row>
    <row r="55" spans="1:5">
      <c r="A55" s="91" t="s">
        <v>92</v>
      </c>
      <c r="B55" s="290">
        <v>17</v>
      </c>
      <c r="C55" s="291">
        <v>12</v>
      </c>
      <c r="D55" s="105">
        <f t="shared" si="0"/>
        <v>0.70599999999999996</v>
      </c>
      <c r="E55" s="89"/>
    </row>
    <row r="56" spans="1:5">
      <c r="A56" s="91" t="s">
        <v>93</v>
      </c>
      <c r="B56" s="290">
        <v>13166</v>
      </c>
      <c r="C56" s="289">
        <v>7968</v>
      </c>
      <c r="D56" s="105">
        <f t="shared" si="0"/>
        <v>0.60499999999999998</v>
      </c>
      <c r="E56" s="89"/>
    </row>
    <row r="57" spans="1:5">
      <c r="A57" s="91" t="s">
        <v>94</v>
      </c>
      <c r="B57" s="290">
        <v>430</v>
      </c>
      <c r="C57" s="291">
        <v>280</v>
      </c>
      <c r="D57" s="105">
        <f t="shared" si="0"/>
        <v>0.65100000000000002</v>
      </c>
      <c r="E57" s="89"/>
    </row>
    <row r="58" spans="1:5">
      <c r="A58" s="90" t="s">
        <v>68</v>
      </c>
      <c r="B58" s="290">
        <v>2973</v>
      </c>
      <c r="C58" s="289">
        <v>3245</v>
      </c>
      <c r="D58" s="105">
        <f t="shared" si="0"/>
        <v>1.091</v>
      </c>
      <c r="E58" s="89"/>
    </row>
    <row r="59" spans="1:5">
      <c r="A59" s="91" t="s">
        <v>95</v>
      </c>
      <c r="B59" s="290">
        <v>11938</v>
      </c>
      <c r="C59" s="289">
        <v>1334</v>
      </c>
      <c r="D59" s="105">
        <f t="shared" si="0"/>
        <v>0.112</v>
      </c>
      <c r="E59" s="89"/>
    </row>
    <row r="60" spans="1:5">
      <c r="A60" s="90" t="s">
        <v>96</v>
      </c>
      <c r="B60" s="102">
        <v>269204</v>
      </c>
      <c r="C60" s="289">
        <v>219362</v>
      </c>
      <c r="D60" s="105">
        <f t="shared" si="0"/>
        <v>0.81499999999999995</v>
      </c>
      <c r="E60" s="89"/>
    </row>
    <row r="61" spans="1:5">
      <c r="A61" s="91" t="s">
        <v>59</v>
      </c>
      <c r="B61" s="290">
        <v>98175</v>
      </c>
      <c r="C61" s="289">
        <v>92123</v>
      </c>
      <c r="D61" s="105">
        <f t="shared" si="0"/>
        <v>0.93799999999999994</v>
      </c>
      <c r="E61" s="89"/>
    </row>
    <row r="62" spans="1:5">
      <c r="A62" s="89" t="s">
        <v>60</v>
      </c>
      <c r="B62" s="290">
        <v>17843</v>
      </c>
      <c r="C62" s="289">
        <v>10527</v>
      </c>
      <c r="D62" s="105">
        <f t="shared" si="0"/>
        <v>0.59</v>
      </c>
      <c r="E62" s="89"/>
    </row>
    <row r="63" spans="1:5">
      <c r="A63" s="89" t="s">
        <v>61</v>
      </c>
      <c r="B63" s="290">
        <v>834</v>
      </c>
      <c r="C63" s="289">
        <v>1652</v>
      </c>
      <c r="D63" s="105">
        <f t="shared" si="0"/>
        <v>1.9810000000000001</v>
      </c>
      <c r="E63" s="89"/>
    </row>
    <row r="64" spans="1:5">
      <c r="A64" s="89" t="s">
        <v>97</v>
      </c>
      <c r="B64" s="290">
        <v>646</v>
      </c>
      <c r="C64" s="289">
        <v>1084</v>
      </c>
      <c r="D64" s="105">
        <f t="shared" si="0"/>
        <v>1.6779999999999999</v>
      </c>
      <c r="E64" s="89"/>
    </row>
    <row r="65" spans="1:5">
      <c r="A65" s="89" t="s">
        <v>98</v>
      </c>
      <c r="B65" s="290">
        <v>950</v>
      </c>
      <c r="C65" s="289">
        <v>2300</v>
      </c>
      <c r="D65" s="105">
        <f t="shared" si="0"/>
        <v>2.4209999999999998</v>
      </c>
      <c r="E65" s="89"/>
    </row>
    <row r="66" spans="1:5">
      <c r="A66" s="89" t="s">
        <v>99</v>
      </c>
      <c r="B66" s="290">
        <v>52</v>
      </c>
      <c r="C66" s="289">
        <v>2332</v>
      </c>
      <c r="D66" s="105">
        <f t="shared" si="0"/>
        <v>44.845999999999997</v>
      </c>
      <c r="E66" s="89"/>
    </row>
    <row r="67" spans="1:5">
      <c r="A67" s="90" t="s">
        <v>100</v>
      </c>
      <c r="B67" s="290">
        <v>5095</v>
      </c>
      <c r="C67" s="289">
        <v>2831</v>
      </c>
      <c r="D67" s="105">
        <f t="shared" si="0"/>
        <v>0.55600000000000005</v>
      </c>
      <c r="E67" s="89"/>
    </row>
    <row r="68" spans="1:5">
      <c r="A68" s="91" t="s">
        <v>101</v>
      </c>
      <c r="B68" s="290">
        <v>5420</v>
      </c>
      <c r="C68" s="291">
        <v>4892</v>
      </c>
      <c r="D68" s="105">
        <f t="shared" si="0"/>
        <v>0.90300000000000002</v>
      </c>
      <c r="E68" s="89"/>
    </row>
    <row r="69" spans="1:5">
      <c r="A69" s="91" t="s">
        <v>68</v>
      </c>
      <c r="B69" s="290">
        <v>22810</v>
      </c>
      <c r="C69" s="291">
        <v>25133</v>
      </c>
      <c r="D69" s="105">
        <f t="shared" ref="D69:D132" si="1">IF(B69=0,"",ROUND(C69/B69,3))</f>
        <v>1.1020000000000001</v>
      </c>
      <c r="E69" s="89"/>
    </row>
    <row r="70" spans="1:5">
      <c r="A70" s="91" t="s">
        <v>102</v>
      </c>
      <c r="B70" s="290">
        <v>117379</v>
      </c>
      <c r="C70" s="289">
        <v>76488</v>
      </c>
      <c r="D70" s="105">
        <f t="shared" si="1"/>
        <v>0.65200000000000002</v>
      </c>
      <c r="E70" s="89"/>
    </row>
    <row r="71" spans="1:5">
      <c r="A71" s="90" t="s">
        <v>103</v>
      </c>
      <c r="B71" s="102">
        <v>130926</v>
      </c>
      <c r="C71" s="291">
        <v>93535</v>
      </c>
      <c r="D71" s="105">
        <f t="shared" si="1"/>
        <v>0.71399999999999997</v>
      </c>
      <c r="E71" s="89"/>
    </row>
    <row r="72" spans="1:5">
      <c r="A72" s="90" t="s">
        <v>59</v>
      </c>
      <c r="B72" s="290">
        <v>109209</v>
      </c>
      <c r="C72" s="289">
        <v>78012</v>
      </c>
      <c r="D72" s="105">
        <f t="shared" si="1"/>
        <v>0.71399999999999997</v>
      </c>
      <c r="E72" s="89"/>
    </row>
    <row r="73" spans="1:5">
      <c r="A73" s="90" t="s">
        <v>60</v>
      </c>
      <c r="B73" s="290">
        <v>9708</v>
      </c>
      <c r="C73" s="291">
        <v>6140</v>
      </c>
      <c r="D73" s="105">
        <f t="shared" si="1"/>
        <v>0.63200000000000001</v>
      </c>
      <c r="E73" s="89"/>
    </row>
    <row r="74" spans="1:5">
      <c r="A74" s="91" t="s">
        <v>61</v>
      </c>
      <c r="B74" s="102">
        <v>0</v>
      </c>
      <c r="C74" s="291">
        <v>0</v>
      </c>
      <c r="D74" s="105" t="str">
        <f t="shared" si="1"/>
        <v/>
      </c>
      <c r="E74" s="89"/>
    </row>
    <row r="75" spans="1:5">
      <c r="A75" s="90" t="s">
        <v>100</v>
      </c>
      <c r="B75" s="102"/>
      <c r="C75" s="291">
        <v>0</v>
      </c>
      <c r="D75" s="105" t="str">
        <f t="shared" si="1"/>
        <v/>
      </c>
      <c r="E75" s="89"/>
    </row>
    <row r="76" spans="1:5">
      <c r="A76" s="91" t="s">
        <v>104</v>
      </c>
      <c r="B76" s="102"/>
      <c r="C76" s="291">
        <v>2343</v>
      </c>
      <c r="D76" s="105" t="str">
        <f t="shared" si="1"/>
        <v/>
      </c>
      <c r="E76" s="89"/>
    </row>
    <row r="77" spans="1:5">
      <c r="A77" s="91" t="s">
        <v>68</v>
      </c>
      <c r="B77" s="290">
        <v>52</v>
      </c>
      <c r="C77" s="289">
        <v>79</v>
      </c>
      <c r="D77" s="105">
        <f t="shared" si="1"/>
        <v>1.5189999999999999</v>
      </c>
      <c r="E77" s="89"/>
    </row>
    <row r="78" spans="1:5">
      <c r="A78" s="91" t="s">
        <v>105</v>
      </c>
      <c r="B78" s="102">
        <v>11957</v>
      </c>
      <c r="C78" s="291">
        <v>6961</v>
      </c>
      <c r="D78" s="105">
        <f t="shared" si="1"/>
        <v>0.58199999999999996</v>
      </c>
      <c r="E78" s="89"/>
    </row>
    <row r="79" spans="1:5">
      <c r="A79" s="91" t="s">
        <v>106</v>
      </c>
      <c r="B79" s="102">
        <v>50271</v>
      </c>
      <c r="C79" s="289">
        <v>45446</v>
      </c>
      <c r="D79" s="105">
        <f t="shared" si="1"/>
        <v>0.90400000000000003</v>
      </c>
      <c r="E79" s="89"/>
    </row>
    <row r="80" spans="1:5">
      <c r="A80" s="90" t="s">
        <v>59</v>
      </c>
      <c r="B80" s="290">
        <v>32627</v>
      </c>
      <c r="C80" s="289">
        <v>29827</v>
      </c>
      <c r="D80" s="105">
        <f t="shared" si="1"/>
        <v>0.91400000000000003</v>
      </c>
      <c r="E80" s="89"/>
    </row>
    <row r="81" spans="1:5">
      <c r="A81" s="90" t="s">
        <v>60</v>
      </c>
      <c r="B81" s="290">
        <v>2885</v>
      </c>
      <c r="C81" s="291">
        <v>1405</v>
      </c>
      <c r="D81" s="105">
        <f t="shared" si="1"/>
        <v>0.48699999999999999</v>
      </c>
      <c r="E81" s="89"/>
    </row>
    <row r="82" spans="1:5">
      <c r="A82" s="90" t="s">
        <v>61</v>
      </c>
      <c r="B82" s="290">
        <v>219</v>
      </c>
      <c r="C82" s="289">
        <v>222</v>
      </c>
      <c r="D82" s="105">
        <f t="shared" si="1"/>
        <v>1.014</v>
      </c>
      <c r="E82" s="89"/>
    </row>
    <row r="83" spans="1:5">
      <c r="A83" s="91" t="s">
        <v>107</v>
      </c>
      <c r="B83" s="290">
        <v>8506</v>
      </c>
      <c r="C83" s="289">
        <v>9127</v>
      </c>
      <c r="D83" s="105">
        <f t="shared" si="1"/>
        <v>1.073</v>
      </c>
      <c r="E83" s="89"/>
    </row>
    <row r="84" spans="1:5">
      <c r="A84" s="91" t="s">
        <v>108</v>
      </c>
      <c r="B84" s="290">
        <v>7</v>
      </c>
      <c r="C84" s="289">
        <v>19</v>
      </c>
      <c r="D84" s="105">
        <f t="shared" si="1"/>
        <v>2.714</v>
      </c>
      <c r="E84" s="89"/>
    </row>
    <row r="85" spans="1:5">
      <c r="A85" s="91" t="s">
        <v>100</v>
      </c>
      <c r="B85" s="290">
        <v>175</v>
      </c>
      <c r="C85" s="291">
        <v>106</v>
      </c>
      <c r="D85" s="105">
        <f t="shared" si="1"/>
        <v>0.60599999999999998</v>
      </c>
      <c r="E85" s="89"/>
    </row>
    <row r="86" spans="1:5">
      <c r="A86" s="91" t="s">
        <v>68</v>
      </c>
      <c r="B86" s="290">
        <v>1828</v>
      </c>
      <c r="C86" s="289">
        <v>1896</v>
      </c>
      <c r="D86" s="105">
        <f t="shared" si="1"/>
        <v>1.0369999999999999</v>
      </c>
      <c r="E86" s="89"/>
    </row>
    <row r="87" spans="1:5">
      <c r="A87" s="89" t="s">
        <v>109</v>
      </c>
      <c r="B87" s="290">
        <v>4024</v>
      </c>
      <c r="C87" s="291">
        <v>2844</v>
      </c>
      <c r="D87" s="105">
        <f t="shared" si="1"/>
        <v>0.70699999999999996</v>
      </c>
      <c r="E87" s="89"/>
    </row>
    <row r="88" spans="1:5">
      <c r="A88" s="90" t="s">
        <v>110</v>
      </c>
      <c r="B88" s="102">
        <v>2422</v>
      </c>
      <c r="C88" s="289">
        <v>4406</v>
      </c>
      <c r="D88" s="105">
        <f t="shared" si="1"/>
        <v>1.819</v>
      </c>
      <c r="E88" s="89"/>
    </row>
    <row r="89" spans="1:5">
      <c r="A89" s="90" t="s">
        <v>59</v>
      </c>
      <c r="B89" s="290">
        <v>129</v>
      </c>
      <c r="C89" s="291">
        <v>1221</v>
      </c>
      <c r="D89" s="105">
        <f t="shared" si="1"/>
        <v>9.4649999999999999</v>
      </c>
      <c r="E89" s="89"/>
    </row>
    <row r="90" spans="1:5">
      <c r="A90" s="91" t="s">
        <v>60</v>
      </c>
      <c r="B90" s="290">
        <v>0</v>
      </c>
      <c r="C90" s="291">
        <v>0</v>
      </c>
      <c r="D90" s="105" t="str">
        <f t="shared" si="1"/>
        <v/>
      </c>
      <c r="E90" s="89"/>
    </row>
    <row r="91" spans="1:5">
      <c r="A91" s="91" t="s">
        <v>61</v>
      </c>
      <c r="B91" s="290">
        <v>0</v>
      </c>
      <c r="C91" s="291">
        <v>0</v>
      </c>
      <c r="D91" s="105" t="str">
        <f t="shared" si="1"/>
        <v/>
      </c>
      <c r="E91" s="89"/>
    </row>
    <row r="92" spans="1:5">
      <c r="A92" s="90" t="s">
        <v>111</v>
      </c>
      <c r="B92" s="290">
        <v>0</v>
      </c>
      <c r="C92" s="291">
        <v>0</v>
      </c>
      <c r="D92" s="105" t="str">
        <f t="shared" si="1"/>
        <v/>
      </c>
      <c r="E92" s="89"/>
    </row>
    <row r="93" spans="1:5">
      <c r="A93" s="90" t="s">
        <v>112</v>
      </c>
      <c r="B93" s="290">
        <v>74</v>
      </c>
      <c r="C93" s="291">
        <v>1126</v>
      </c>
      <c r="D93" s="105">
        <f t="shared" si="1"/>
        <v>15.215999999999999</v>
      </c>
      <c r="E93" s="89"/>
    </row>
    <row r="94" spans="1:5">
      <c r="A94" s="90" t="s">
        <v>100</v>
      </c>
      <c r="B94" s="290">
        <v>0</v>
      </c>
      <c r="C94" s="291">
        <v>0</v>
      </c>
      <c r="D94" s="105" t="str">
        <f t="shared" si="1"/>
        <v/>
      </c>
      <c r="E94" s="89"/>
    </row>
    <row r="95" spans="1:5">
      <c r="A95" s="90" t="s">
        <v>113</v>
      </c>
      <c r="B95" s="290">
        <v>1081</v>
      </c>
      <c r="C95" s="291">
        <v>0</v>
      </c>
      <c r="D95" s="105">
        <f t="shared" si="1"/>
        <v>0</v>
      </c>
      <c r="E95" s="89"/>
    </row>
    <row r="96" spans="1:5">
      <c r="A96" s="90" t="s">
        <v>114</v>
      </c>
      <c r="B96" s="290">
        <v>0</v>
      </c>
      <c r="C96" s="291">
        <v>0</v>
      </c>
      <c r="D96" s="105" t="str">
        <f t="shared" si="1"/>
        <v/>
      </c>
      <c r="E96" s="89"/>
    </row>
    <row r="97" spans="1:5">
      <c r="A97" s="90" t="s">
        <v>115</v>
      </c>
      <c r="B97" s="290">
        <v>0</v>
      </c>
      <c r="C97" s="291">
        <v>0</v>
      </c>
      <c r="D97" s="105" t="str">
        <f t="shared" si="1"/>
        <v/>
      </c>
      <c r="E97" s="89"/>
    </row>
    <row r="98" spans="1:5">
      <c r="A98" s="90" t="s">
        <v>116</v>
      </c>
      <c r="B98" s="290">
        <v>130</v>
      </c>
      <c r="C98" s="291">
        <v>10</v>
      </c>
      <c r="D98" s="105">
        <f t="shared" si="1"/>
        <v>7.6999999999999999E-2</v>
      </c>
      <c r="E98" s="89"/>
    </row>
    <row r="99" spans="1:5">
      <c r="A99" s="91" t="s">
        <v>68</v>
      </c>
      <c r="B99" s="290">
        <v>69</v>
      </c>
      <c r="C99" s="291">
        <v>43</v>
      </c>
      <c r="D99" s="105">
        <f t="shared" si="1"/>
        <v>0.623</v>
      </c>
      <c r="E99" s="89"/>
    </row>
    <row r="100" spans="1:5">
      <c r="A100" s="91" t="s">
        <v>117</v>
      </c>
      <c r="B100" s="290">
        <v>939</v>
      </c>
      <c r="C100" s="289">
        <v>2006</v>
      </c>
      <c r="D100" s="105">
        <f t="shared" si="1"/>
        <v>2.1360000000000001</v>
      </c>
      <c r="E100" s="89"/>
    </row>
    <row r="101" spans="1:5">
      <c r="A101" s="89" t="s">
        <v>118</v>
      </c>
      <c r="B101" s="292">
        <v>207499</v>
      </c>
      <c r="C101" s="289">
        <v>207971</v>
      </c>
      <c r="D101" s="105">
        <f t="shared" si="1"/>
        <v>1.002</v>
      </c>
      <c r="E101" s="89"/>
    </row>
    <row r="102" spans="1:5">
      <c r="A102" s="90" t="s">
        <v>59</v>
      </c>
      <c r="B102" s="290">
        <v>154840</v>
      </c>
      <c r="C102" s="289">
        <v>157890</v>
      </c>
      <c r="D102" s="105">
        <f t="shared" si="1"/>
        <v>1.02</v>
      </c>
      <c r="E102" s="89"/>
    </row>
    <row r="103" spans="1:5">
      <c r="A103" s="90" t="s">
        <v>60</v>
      </c>
      <c r="B103" s="290">
        <v>18468</v>
      </c>
      <c r="C103" s="289">
        <v>27485</v>
      </c>
      <c r="D103" s="105">
        <f t="shared" si="1"/>
        <v>1.488</v>
      </c>
      <c r="E103" s="89"/>
    </row>
    <row r="104" spans="1:5">
      <c r="A104" s="90" t="s">
        <v>61</v>
      </c>
      <c r="B104" s="290">
        <v>0</v>
      </c>
      <c r="C104" s="291">
        <v>0</v>
      </c>
      <c r="D104" s="105" t="str">
        <f t="shared" si="1"/>
        <v/>
      </c>
      <c r="E104" s="89"/>
    </row>
    <row r="105" spans="1:5">
      <c r="A105" s="91" t="s">
        <v>119</v>
      </c>
      <c r="B105" s="290">
        <v>2694</v>
      </c>
      <c r="C105" s="289">
        <v>3542</v>
      </c>
      <c r="D105" s="105">
        <f t="shared" si="1"/>
        <v>1.3149999999999999</v>
      </c>
      <c r="E105" s="89"/>
    </row>
    <row r="106" spans="1:5">
      <c r="A106" s="91" t="s">
        <v>120</v>
      </c>
      <c r="B106" s="290">
        <v>252</v>
      </c>
      <c r="C106" s="291">
        <v>406</v>
      </c>
      <c r="D106" s="105">
        <f t="shared" si="1"/>
        <v>1.611</v>
      </c>
      <c r="E106" s="89"/>
    </row>
    <row r="107" spans="1:5">
      <c r="A107" s="91" t="s">
        <v>121</v>
      </c>
      <c r="B107" s="290">
        <v>2395</v>
      </c>
      <c r="C107" s="289">
        <v>2811</v>
      </c>
      <c r="D107" s="105">
        <f t="shared" si="1"/>
        <v>1.1739999999999999</v>
      </c>
      <c r="E107" s="89"/>
    </row>
    <row r="108" spans="1:5">
      <c r="A108" s="90" t="s">
        <v>68</v>
      </c>
      <c r="B108" s="290">
        <v>2463</v>
      </c>
      <c r="C108" s="289">
        <v>1583</v>
      </c>
      <c r="D108" s="105">
        <f t="shared" si="1"/>
        <v>0.64300000000000002</v>
      </c>
      <c r="E108" s="89"/>
    </row>
    <row r="109" spans="1:5">
      <c r="A109" s="90" t="s">
        <v>122</v>
      </c>
      <c r="B109" s="290">
        <v>26387</v>
      </c>
      <c r="C109" s="289">
        <v>14254</v>
      </c>
      <c r="D109" s="105">
        <f t="shared" si="1"/>
        <v>0.54</v>
      </c>
      <c r="E109" s="89"/>
    </row>
    <row r="110" spans="1:5">
      <c r="A110" s="89" t="s">
        <v>123</v>
      </c>
      <c r="B110" s="292">
        <v>184542</v>
      </c>
      <c r="C110" s="289">
        <v>102632</v>
      </c>
      <c r="D110" s="105">
        <f t="shared" si="1"/>
        <v>0.55600000000000005</v>
      </c>
      <c r="E110" s="89"/>
    </row>
    <row r="111" spans="1:5">
      <c r="A111" s="90" t="s">
        <v>59</v>
      </c>
      <c r="B111" s="290">
        <v>43439</v>
      </c>
      <c r="C111" s="289">
        <v>40196</v>
      </c>
      <c r="D111" s="105">
        <f t="shared" si="1"/>
        <v>0.92500000000000004</v>
      </c>
      <c r="E111" s="89"/>
    </row>
    <row r="112" spans="1:5">
      <c r="A112" s="90" t="s">
        <v>60</v>
      </c>
      <c r="B112" s="290">
        <v>25504</v>
      </c>
      <c r="C112" s="289">
        <v>8303</v>
      </c>
      <c r="D112" s="105">
        <f t="shared" si="1"/>
        <v>0.32600000000000001</v>
      </c>
      <c r="E112" s="89"/>
    </row>
    <row r="113" spans="1:5">
      <c r="A113" s="90" t="s">
        <v>61</v>
      </c>
      <c r="B113" s="290">
        <v>2008</v>
      </c>
      <c r="C113" s="289">
        <v>1455</v>
      </c>
      <c r="D113" s="105">
        <f t="shared" si="1"/>
        <v>0.72499999999999998</v>
      </c>
      <c r="E113" s="89"/>
    </row>
    <row r="114" spans="1:5">
      <c r="A114" s="91" t="s">
        <v>124</v>
      </c>
      <c r="B114" s="290">
        <v>853</v>
      </c>
      <c r="C114" s="289">
        <v>390</v>
      </c>
      <c r="D114" s="105">
        <f t="shared" si="1"/>
        <v>0.45700000000000002</v>
      </c>
      <c r="E114" s="89"/>
    </row>
    <row r="115" spans="1:5">
      <c r="A115" s="91" t="s">
        <v>125</v>
      </c>
      <c r="B115" s="290">
        <v>19</v>
      </c>
      <c r="C115" s="289">
        <v>0</v>
      </c>
      <c r="D115" s="105">
        <f t="shared" si="1"/>
        <v>0</v>
      </c>
      <c r="E115" s="89"/>
    </row>
    <row r="116" spans="1:5">
      <c r="A116" s="91" t="s">
        <v>126</v>
      </c>
      <c r="B116" s="290">
        <v>0</v>
      </c>
      <c r="C116" s="289">
        <v>0</v>
      </c>
      <c r="D116" s="105" t="str">
        <f t="shared" si="1"/>
        <v/>
      </c>
      <c r="E116" s="89"/>
    </row>
    <row r="117" spans="1:5">
      <c r="A117" s="90" t="s">
        <v>127</v>
      </c>
      <c r="B117" s="290">
        <v>650</v>
      </c>
      <c r="C117" s="291">
        <v>77</v>
      </c>
      <c r="D117" s="105">
        <f t="shared" si="1"/>
        <v>0.11799999999999999</v>
      </c>
      <c r="E117" s="89"/>
    </row>
    <row r="118" spans="1:5">
      <c r="A118" s="90" t="s">
        <v>128</v>
      </c>
      <c r="B118" s="290">
        <v>10093</v>
      </c>
      <c r="C118" s="289">
        <v>8177</v>
      </c>
      <c r="D118" s="105">
        <f t="shared" si="1"/>
        <v>0.81</v>
      </c>
      <c r="E118" s="89"/>
    </row>
    <row r="119" spans="1:5">
      <c r="A119" s="90" t="s">
        <v>68</v>
      </c>
      <c r="B119" s="290">
        <v>9481</v>
      </c>
      <c r="C119" s="289">
        <v>6983</v>
      </c>
      <c r="D119" s="105">
        <f t="shared" si="1"/>
        <v>0.73699999999999999</v>
      </c>
      <c r="E119" s="89"/>
    </row>
    <row r="120" spans="1:5">
      <c r="A120" s="91" t="s">
        <v>129</v>
      </c>
      <c r="B120" s="290">
        <v>92495</v>
      </c>
      <c r="C120" s="289">
        <v>37051</v>
      </c>
      <c r="D120" s="105">
        <f t="shared" si="1"/>
        <v>0.40100000000000002</v>
      </c>
      <c r="E120" s="89"/>
    </row>
    <row r="121" spans="1:5">
      <c r="A121" s="91" t="s">
        <v>130</v>
      </c>
      <c r="B121" s="292">
        <v>1157</v>
      </c>
      <c r="C121" s="291">
        <v>1164</v>
      </c>
      <c r="D121" s="105">
        <f t="shared" si="1"/>
        <v>1.006</v>
      </c>
      <c r="E121" s="89"/>
    </row>
    <row r="122" spans="1:5">
      <c r="A122" s="91" t="s">
        <v>59</v>
      </c>
      <c r="B122" s="290">
        <v>0</v>
      </c>
      <c r="C122" s="291">
        <v>0</v>
      </c>
      <c r="D122" s="105" t="str">
        <f t="shared" si="1"/>
        <v/>
      </c>
      <c r="E122" s="89"/>
    </row>
    <row r="123" spans="1:5">
      <c r="A123" s="89" t="s">
        <v>60</v>
      </c>
      <c r="B123" s="290">
        <v>3</v>
      </c>
      <c r="C123" s="291">
        <v>0</v>
      </c>
      <c r="D123" s="105">
        <f t="shared" si="1"/>
        <v>0</v>
      </c>
      <c r="E123" s="89"/>
    </row>
    <row r="124" spans="1:5">
      <c r="A124" s="90" t="s">
        <v>61</v>
      </c>
      <c r="B124" s="290">
        <v>0</v>
      </c>
      <c r="C124" s="291">
        <v>0</v>
      </c>
      <c r="D124" s="105" t="str">
        <f t="shared" si="1"/>
        <v/>
      </c>
      <c r="E124" s="89"/>
    </row>
    <row r="125" spans="1:5">
      <c r="A125" s="90" t="s">
        <v>131</v>
      </c>
      <c r="B125" s="290">
        <v>30</v>
      </c>
      <c r="C125" s="289">
        <v>75</v>
      </c>
      <c r="D125" s="105">
        <f t="shared" si="1"/>
        <v>2.5</v>
      </c>
      <c r="E125" s="89"/>
    </row>
    <row r="126" spans="1:5">
      <c r="A126" s="90" t="s">
        <v>132</v>
      </c>
      <c r="B126" s="290">
        <v>84</v>
      </c>
      <c r="C126" s="291">
        <v>80</v>
      </c>
      <c r="D126" s="105">
        <f t="shared" si="1"/>
        <v>0.95199999999999996</v>
      </c>
      <c r="E126" s="89"/>
    </row>
    <row r="127" spans="1:5">
      <c r="A127" s="91" t="s">
        <v>133</v>
      </c>
      <c r="B127" s="290">
        <v>0</v>
      </c>
      <c r="C127" s="291">
        <v>0</v>
      </c>
      <c r="D127" s="105" t="str">
        <f t="shared" si="1"/>
        <v/>
      </c>
      <c r="E127" s="89"/>
    </row>
    <row r="128" spans="1:5">
      <c r="A128" s="90" t="s">
        <v>134</v>
      </c>
      <c r="B128" s="290">
        <v>1000</v>
      </c>
      <c r="C128" s="289">
        <v>959</v>
      </c>
      <c r="D128" s="105">
        <f t="shared" si="1"/>
        <v>0.95899999999999996</v>
      </c>
      <c r="E128" s="89"/>
    </row>
    <row r="129" spans="1:5">
      <c r="A129" s="90" t="s">
        <v>135</v>
      </c>
      <c r="B129" s="290">
        <v>0</v>
      </c>
      <c r="C129" s="291">
        <v>10</v>
      </c>
      <c r="D129" s="105" t="str">
        <f t="shared" si="1"/>
        <v/>
      </c>
      <c r="E129" s="89"/>
    </row>
    <row r="130" spans="1:5">
      <c r="A130" s="90" t="s">
        <v>136</v>
      </c>
      <c r="B130" s="290">
        <v>0</v>
      </c>
      <c r="C130" s="291">
        <v>0</v>
      </c>
      <c r="D130" s="105" t="str">
        <f t="shared" si="1"/>
        <v/>
      </c>
      <c r="E130" s="89"/>
    </row>
    <row r="131" spans="1:5">
      <c r="A131" s="90" t="s">
        <v>68</v>
      </c>
      <c r="B131" s="290">
        <v>0</v>
      </c>
      <c r="C131" s="291">
        <v>0</v>
      </c>
      <c r="D131" s="105" t="str">
        <f t="shared" si="1"/>
        <v/>
      </c>
      <c r="E131" s="89"/>
    </row>
    <row r="132" spans="1:5">
      <c r="A132" s="90" t="s">
        <v>137</v>
      </c>
      <c r="B132" s="290">
        <v>40</v>
      </c>
      <c r="C132" s="291">
        <v>40</v>
      </c>
      <c r="D132" s="105">
        <f t="shared" si="1"/>
        <v>1</v>
      </c>
      <c r="E132" s="89"/>
    </row>
    <row r="133" spans="1:5">
      <c r="A133" s="90" t="s">
        <v>138</v>
      </c>
      <c r="B133" s="290">
        <v>15944</v>
      </c>
      <c r="C133" s="289">
        <v>9278</v>
      </c>
      <c r="D133" s="105">
        <f t="shared" ref="D133:D196" si="2">IF(B133=0,"",ROUND(C133/B133,3))</f>
        <v>0.58199999999999996</v>
      </c>
      <c r="E133" s="89"/>
    </row>
    <row r="134" spans="1:5">
      <c r="A134" s="90" t="s">
        <v>59</v>
      </c>
      <c r="B134" s="290">
        <v>6942</v>
      </c>
      <c r="C134" s="289">
        <v>6274</v>
      </c>
      <c r="D134" s="105">
        <f t="shared" si="2"/>
        <v>0.90400000000000003</v>
      </c>
      <c r="E134" s="89"/>
    </row>
    <row r="135" spans="1:5">
      <c r="A135" s="90" t="s">
        <v>60</v>
      </c>
      <c r="B135" s="290">
        <v>557</v>
      </c>
      <c r="C135" s="291">
        <v>493</v>
      </c>
      <c r="D135" s="105">
        <f t="shared" si="2"/>
        <v>0.88500000000000001</v>
      </c>
      <c r="E135" s="89"/>
    </row>
    <row r="136" spans="1:5">
      <c r="A136" s="91" t="s">
        <v>61</v>
      </c>
      <c r="B136" s="290">
        <v>127</v>
      </c>
      <c r="C136" s="289">
        <v>131</v>
      </c>
      <c r="D136" s="105">
        <f t="shared" si="2"/>
        <v>1.0309999999999999</v>
      </c>
      <c r="E136" s="89"/>
    </row>
    <row r="137" spans="1:5">
      <c r="A137" s="91" t="s">
        <v>139</v>
      </c>
      <c r="B137" s="290">
        <v>726</v>
      </c>
      <c r="C137" s="291">
        <v>506</v>
      </c>
      <c r="D137" s="105">
        <f t="shared" si="2"/>
        <v>0.69699999999999995</v>
      </c>
      <c r="E137" s="89"/>
    </row>
    <row r="138" spans="1:5">
      <c r="A138" s="91" t="s">
        <v>68</v>
      </c>
      <c r="B138" s="290">
        <v>1717</v>
      </c>
      <c r="C138" s="289">
        <v>590</v>
      </c>
      <c r="D138" s="105">
        <f t="shared" si="2"/>
        <v>0.34399999999999997</v>
      </c>
      <c r="E138" s="89"/>
    </row>
    <row r="139" spans="1:5">
      <c r="A139" s="89" t="s">
        <v>140</v>
      </c>
      <c r="B139" s="290">
        <v>5875</v>
      </c>
      <c r="C139" s="289">
        <v>1284</v>
      </c>
      <c r="D139" s="105">
        <f t="shared" si="2"/>
        <v>0.219</v>
      </c>
      <c r="E139" s="89"/>
    </row>
    <row r="140" spans="1:5">
      <c r="A140" s="90" t="s">
        <v>141</v>
      </c>
      <c r="B140" s="292">
        <v>914</v>
      </c>
      <c r="C140" s="289">
        <v>860</v>
      </c>
      <c r="D140" s="105">
        <f t="shared" si="2"/>
        <v>0.94099999999999995</v>
      </c>
      <c r="E140" s="89"/>
    </row>
    <row r="141" spans="1:5">
      <c r="A141" s="90" t="s">
        <v>59</v>
      </c>
      <c r="B141" s="290">
        <v>897</v>
      </c>
      <c r="C141" s="289">
        <v>844</v>
      </c>
      <c r="D141" s="105">
        <f t="shared" si="2"/>
        <v>0.94099999999999995</v>
      </c>
      <c r="E141" s="89"/>
    </row>
    <row r="142" spans="1:5">
      <c r="A142" s="91" t="s">
        <v>60</v>
      </c>
      <c r="B142" s="290">
        <v>17</v>
      </c>
      <c r="C142" s="291">
        <v>14</v>
      </c>
      <c r="D142" s="105">
        <f t="shared" si="2"/>
        <v>0.82399999999999995</v>
      </c>
      <c r="E142" s="89"/>
    </row>
    <row r="143" spans="1:5">
      <c r="A143" s="91" t="s">
        <v>61</v>
      </c>
      <c r="B143" s="292">
        <v>0</v>
      </c>
      <c r="C143" s="291">
        <v>0</v>
      </c>
      <c r="D143" s="105" t="str">
        <f t="shared" si="2"/>
        <v/>
      </c>
      <c r="E143" s="89"/>
    </row>
    <row r="144" spans="1:5">
      <c r="A144" s="91" t="s">
        <v>142</v>
      </c>
      <c r="B144" s="292">
        <v>0</v>
      </c>
      <c r="C144" s="291">
        <v>0</v>
      </c>
      <c r="D144" s="105" t="str">
        <f t="shared" si="2"/>
        <v/>
      </c>
      <c r="E144" s="89"/>
    </row>
    <row r="145" spans="1:5">
      <c r="A145" s="89" t="s">
        <v>143</v>
      </c>
      <c r="B145" s="292">
        <v>0</v>
      </c>
      <c r="C145" s="291">
        <v>0</v>
      </c>
      <c r="D145" s="105" t="str">
        <f t="shared" si="2"/>
        <v/>
      </c>
      <c r="E145" s="89"/>
    </row>
    <row r="146" spans="1:5">
      <c r="A146" s="90" t="s">
        <v>68</v>
      </c>
      <c r="B146" s="292">
        <v>0</v>
      </c>
      <c r="C146" s="291">
        <v>0</v>
      </c>
      <c r="D146" s="105" t="str">
        <f t="shared" si="2"/>
        <v/>
      </c>
      <c r="E146" s="89"/>
    </row>
    <row r="147" spans="1:5">
      <c r="A147" s="90" t="s">
        <v>144</v>
      </c>
      <c r="B147" s="292">
        <v>0</v>
      </c>
      <c r="C147" s="291">
        <v>2</v>
      </c>
      <c r="D147" s="105" t="str">
        <f t="shared" si="2"/>
        <v/>
      </c>
      <c r="E147" s="89"/>
    </row>
    <row r="148" spans="1:5">
      <c r="A148" s="91" t="s">
        <v>145</v>
      </c>
      <c r="B148" s="292">
        <v>22436</v>
      </c>
      <c r="C148" s="289">
        <v>14624</v>
      </c>
      <c r="D148" s="105">
        <f t="shared" si="2"/>
        <v>0.65200000000000002</v>
      </c>
      <c r="E148" s="89"/>
    </row>
    <row r="149" spans="1:5">
      <c r="A149" s="91" t="s">
        <v>59</v>
      </c>
      <c r="B149" s="290">
        <v>9203</v>
      </c>
      <c r="C149" s="289">
        <v>9480</v>
      </c>
      <c r="D149" s="105">
        <f t="shared" si="2"/>
        <v>1.03</v>
      </c>
      <c r="E149" s="89"/>
    </row>
    <row r="150" spans="1:5">
      <c r="A150" s="91" t="s">
        <v>60</v>
      </c>
      <c r="B150" s="290">
        <v>356</v>
      </c>
      <c r="C150" s="291">
        <v>141</v>
      </c>
      <c r="D150" s="105">
        <f t="shared" si="2"/>
        <v>0.39600000000000002</v>
      </c>
      <c r="E150" s="89"/>
    </row>
    <row r="151" spans="1:5">
      <c r="A151" s="90" t="s">
        <v>61</v>
      </c>
      <c r="B151" s="290">
        <v>0</v>
      </c>
      <c r="C151" s="291">
        <v>39</v>
      </c>
      <c r="D151" s="105" t="str">
        <f t="shared" si="2"/>
        <v/>
      </c>
      <c r="E151" s="89"/>
    </row>
    <row r="152" spans="1:5">
      <c r="A152" s="90" t="s">
        <v>146</v>
      </c>
      <c r="B152" s="290">
        <v>10841</v>
      </c>
      <c r="C152" s="289">
        <v>4422</v>
      </c>
      <c r="D152" s="105">
        <f t="shared" si="2"/>
        <v>0.40799999999999997</v>
      </c>
      <c r="E152" s="89"/>
    </row>
    <row r="153" spans="1:5">
      <c r="A153" s="90" t="s">
        <v>147</v>
      </c>
      <c r="B153" s="290">
        <v>2036</v>
      </c>
      <c r="C153" s="291">
        <v>542</v>
      </c>
      <c r="D153" s="105">
        <f t="shared" si="2"/>
        <v>0.26600000000000001</v>
      </c>
      <c r="E153" s="89"/>
    </row>
    <row r="154" spans="1:5">
      <c r="A154" s="91" t="s">
        <v>148</v>
      </c>
      <c r="B154" s="292">
        <v>8285</v>
      </c>
      <c r="C154" s="289">
        <v>7585</v>
      </c>
      <c r="D154" s="105">
        <f t="shared" si="2"/>
        <v>0.91600000000000004</v>
      </c>
      <c r="E154" s="89"/>
    </row>
    <row r="155" spans="1:5">
      <c r="A155" s="91" t="s">
        <v>59</v>
      </c>
      <c r="B155" s="290">
        <v>7271</v>
      </c>
      <c r="C155" s="289">
        <v>6751</v>
      </c>
      <c r="D155" s="105">
        <f t="shared" si="2"/>
        <v>0.92800000000000005</v>
      </c>
      <c r="E155" s="89"/>
    </row>
    <row r="156" spans="1:5">
      <c r="A156" s="91" t="s">
        <v>60</v>
      </c>
      <c r="B156" s="290">
        <v>420</v>
      </c>
      <c r="C156" s="291">
        <v>292</v>
      </c>
      <c r="D156" s="105">
        <f t="shared" si="2"/>
        <v>0.69499999999999995</v>
      </c>
      <c r="E156" s="89"/>
    </row>
    <row r="157" spans="1:5">
      <c r="A157" s="89" t="s">
        <v>61</v>
      </c>
      <c r="B157" s="290">
        <v>0</v>
      </c>
      <c r="C157" s="291">
        <v>0</v>
      </c>
      <c r="D157" s="105" t="str">
        <f t="shared" si="2"/>
        <v/>
      </c>
      <c r="E157" s="89"/>
    </row>
    <row r="158" spans="1:5">
      <c r="A158" s="90" t="s">
        <v>73</v>
      </c>
      <c r="B158" s="290">
        <v>196</v>
      </c>
      <c r="C158" s="289">
        <v>124</v>
      </c>
      <c r="D158" s="105">
        <f t="shared" si="2"/>
        <v>0.63300000000000001</v>
      </c>
      <c r="E158" s="89"/>
    </row>
    <row r="159" spans="1:5">
      <c r="A159" s="90" t="s">
        <v>68</v>
      </c>
      <c r="B159" s="290">
        <v>7</v>
      </c>
      <c r="C159" s="291">
        <v>7</v>
      </c>
      <c r="D159" s="105">
        <f t="shared" si="2"/>
        <v>1</v>
      </c>
      <c r="E159" s="89"/>
    </row>
    <row r="160" spans="1:5">
      <c r="A160" s="90" t="s">
        <v>149</v>
      </c>
      <c r="B160" s="290">
        <v>391</v>
      </c>
      <c r="C160" s="289">
        <v>411</v>
      </c>
      <c r="D160" s="105">
        <f t="shared" si="2"/>
        <v>1.0509999999999999</v>
      </c>
      <c r="E160" s="89"/>
    </row>
    <row r="161" spans="1:5">
      <c r="A161" s="91" t="s">
        <v>150</v>
      </c>
      <c r="B161" s="292">
        <v>71480</v>
      </c>
      <c r="C161" s="289">
        <v>66109</v>
      </c>
      <c r="D161" s="105">
        <f t="shared" si="2"/>
        <v>0.92500000000000004</v>
      </c>
      <c r="E161" s="89"/>
    </row>
    <row r="162" spans="1:5">
      <c r="A162" s="91" t="s">
        <v>59</v>
      </c>
      <c r="B162" s="290">
        <v>33637</v>
      </c>
      <c r="C162" s="289">
        <v>36192</v>
      </c>
      <c r="D162" s="105">
        <f t="shared" si="2"/>
        <v>1.0760000000000001</v>
      </c>
      <c r="E162" s="89"/>
    </row>
    <row r="163" spans="1:5">
      <c r="A163" s="91" t="s">
        <v>60</v>
      </c>
      <c r="B163" s="290">
        <v>4441</v>
      </c>
      <c r="C163" s="289">
        <v>8576</v>
      </c>
      <c r="D163" s="105">
        <f t="shared" si="2"/>
        <v>1.931</v>
      </c>
      <c r="E163" s="89"/>
    </row>
    <row r="164" spans="1:5">
      <c r="A164" s="90" t="s">
        <v>61</v>
      </c>
      <c r="B164" s="290">
        <v>95</v>
      </c>
      <c r="C164" s="289">
        <v>177</v>
      </c>
      <c r="D164" s="105">
        <f t="shared" si="2"/>
        <v>1.863</v>
      </c>
      <c r="E164" s="89"/>
    </row>
    <row r="165" spans="1:5">
      <c r="A165" s="90" t="s">
        <v>151</v>
      </c>
      <c r="B165" s="290">
        <v>1377</v>
      </c>
      <c r="C165" s="289">
        <v>575</v>
      </c>
      <c r="D165" s="105">
        <f t="shared" si="2"/>
        <v>0.41799999999999998</v>
      </c>
      <c r="E165" s="89"/>
    </row>
    <row r="166" spans="1:5">
      <c r="A166" s="91" t="s">
        <v>68</v>
      </c>
      <c r="B166" s="290">
        <v>5467</v>
      </c>
      <c r="C166" s="289">
        <v>4459</v>
      </c>
      <c r="D166" s="105">
        <f t="shared" si="2"/>
        <v>0.81599999999999995</v>
      </c>
      <c r="E166" s="89"/>
    </row>
    <row r="167" spans="1:5">
      <c r="A167" s="91" t="s">
        <v>152</v>
      </c>
      <c r="B167" s="290">
        <v>26463</v>
      </c>
      <c r="C167" s="289">
        <v>16130</v>
      </c>
      <c r="D167" s="105">
        <f t="shared" si="2"/>
        <v>0.61</v>
      </c>
      <c r="E167" s="89"/>
    </row>
    <row r="168" spans="1:5">
      <c r="A168" s="91" t="s">
        <v>153</v>
      </c>
      <c r="B168" s="292">
        <v>333282</v>
      </c>
      <c r="C168" s="289">
        <v>263508</v>
      </c>
      <c r="D168" s="105">
        <f t="shared" si="2"/>
        <v>0.79100000000000004</v>
      </c>
      <c r="E168" s="89"/>
    </row>
    <row r="169" spans="1:5">
      <c r="A169" s="91" t="s">
        <v>59</v>
      </c>
      <c r="B169" s="290">
        <v>201146</v>
      </c>
      <c r="C169" s="289">
        <v>187131</v>
      </c>
      <c r="D169" s="105">
        <f t="shared" si="2"/>
        <v>0.93</v>
      </c>
      <c r="E169" s="89"/>
    </row>
    <row r="170" spans="1:5">
      <c r="A170" s="90" t="s">
        <v>60</v>
      </c>
      <c r="B170" s="290">
        <v>36606</v>
      </c>
      <c r="C170" s="289">
        <v>24315</v>
      </c>
      <c r="D170" s="105">
        <f t="shared" si="2"/>
        <v>0.66400000000000003</v>
      </c>
      <c r="E170" s="89"/>
    </row>
    <row r="171" spans="1:5">
      <c r="A171" s="90" t="s">
        <v>61</v>
      </c>
      <c r="B171" s="290">
        <v>5870</v>
      </c>
      <c r="C171" s="289">
        <v>4169</v>
      </c>
      <c r="D171" s="105">
        <f t="shared" si="2"/>
        <v>0.71</v>
      </c>
      <c r="E171" s="89"/>
    </row>
    <row r="172" spans="1:5">
      <c r="A172" s="90" t="s">
        <v>154</v>
      </c>
      <c r="B172" s="290">
        <v>13903</v>
      </c>
      <c r="C172" s="289">
        <v>17165</v>
      </c>
      <c r="D172" s="105">
        <f t="shared" si="2"/>
        <v>1.2350000000000001</v>
      </c>
      <c r="E172" s="89"/>
    </row>
    <row r="173" spans="1:5">
      <c r="A173" s="91" t="s">
        <v>68</v>
      </c>
      <c r="B173" s="290">
        <v>35297</v>
      </c>
      <c r="C173" s="289">
        <v>13364</v>
      </c>
      <c r="D173" s="105">
        <f t="shared" si="2"/>
        <v>0.379</v>
      </c>
      <c r="E173" s="89"/>
    </row>
    <row r="174" spans="1:5">
      <c r="A174" s="91" t="s">
        <v>155</v>
      </c>
      <c r="B174" s="290">
        <v>40460</v>
      </c>
      <c r="C174" s="289">
        <v>17364</v>
      </c>
      <c r="D174" s="105">
        <f t="shared" si="2"/>
        <v>0.42899999999999999</v>
      </c>
      <c r="E174" s="89"/>
    </row>
    <row r="175" spans="1:5">
      <c r="A175" s="91" t="s">
        <v>156</v>
      </c>
      <c r="B175" s="292">
        <v>668692</v>
      </c>
      <c r="C175" s="289">
        <v>429723</v>
      </c>
      <c r="D175" s="105">
        <f t="shared" si="2"/>
        <v>0.64300000000000002</v>
      </c>
      <c r="E175" s="89"/>
    </row>
    <row r="176" spans="1:5">
      <c r="A176" s="90" t="s">
        <v>59</v>
      </c>
      <c r="B176" s="290">
        <v>139178</v>
      </c>
      <c r="C176" s="289">
        <v>118156</v>
      </c>
      <c r="D176" s="105">
        <f t="shared" si="2"/>
        <v>0.84899999999999998</v>
      </c>
      <c r="E176" s="89"/>
    </row>
    <row r="177" spans="1:5">
      <c r="A177" s="90" t="s">
        <v>60</v>
      </c>
      <c r="B177" s="290">
        <v>34271</v>
      </c>
      <c r="C177" s="289">
        <v>36292</v>
      </c>
      <c r="D177" s="105">
        <f t="shared" si="2"/>
        <v>1.0589999999999999</v>
      </c>
      <c r="E177" s="89"/>
    </row>
    <row r="178" spans="1:5">
      <c r="A178" s="90" t="s">
        <v>61</v>
      </c>
      <c r="B178" s="290">
        <v>9</v>
      </c>
      <c r="C178" s="289">
        <v>647</v>
      </c>
      <c r="D178" s="105">
        <f t="shared" si="2"/>
        <v>71.888999999999996</v>
      </c>
      <c r="E178" s="89"/>
    </row>
    <row r="179" spans="1:5">
      <c r="A179" s="90" t="s">
        <v>157</v>
      </c>
      <c r="B179" s="290">
        <v>499</v>
      </c>
      <c r="C179" s="289">
        <v>4512</v>
      </c>
      <c r="D179" s="105">
        <f t="shared" si="2"/>
        <v>9.0419999999999998</v>
      </c>
      <c r="E179" s="89"/>
    </row>
    <row r="180" spans="1:5">
      <c r="A180" s="90" t="s">
        <v>68</v>
      </c>
      <c r="B180" s="290">
        <v>25999</v>
      </c>
      <c r="C180" s="289">
        <v>3272</v>
      </c>
      <c r="D180" s="105">
        <f t="shared" si="2"/>
        <v>0.126</v>
      </c>
      <c r="E180" s="89"/>
    </row>
    <row r="181" spans="1:5">
      <c r="A181" s="91" t="s">
        <v>158</v>
      </c>
      <c r="B181" s="290">
        <v>468736</v>
      </c>
      <c r="C181" s="289">
        <v>266844</v>
      </c>
      <c r="D181" s="105">
        <f t="shared" si="2"/>
        <v>0.56899999999999995</v>
      </c>
      <c r="E181" s="89"/>
    </row>
    <row r="182" spans="1:5">
      <c r="A182" s="91" t="s">
        <v>159</v>
      </c>
      <c r="B182" s="292">
        <v>76748</v>
      </c>
      <c r="C182" s="289">
        <v>48515</v>
      </c>
      <c r="D182" s="105">
        <f t="shared" si="2"/>
        <v>0.63200000000000001</v>
      </c>
      <c r="E182" s="89"/>
    </row>
    <row r="183" spans="1:5">
      <c r="A183" s="89" t="s">
        <v>59</v>
      </c>
      <c r="B183" s="290">
        <v>30875</v>
      </c>
      <c r="C183" s="289">
        <v>28331</v>
      </c>
      <c r="D183" s="105">
        <f t="shared" si="2"/>
        <v>0.91800000000000004</v>
      </c>
      <c r="E183" s="89"/>
    </row>
    <row r="184" spans="1:5">
      <c r="A184" s="90" t="s">
        <v>60</v>
      </c>
      <c r="B184" s="290">
        <v>8204</v>
      </c>
      <c r="C184" s="291">
        <v>5777</v>
      </c>
      <c r="D184" s="105">
        <f t="shared" si="2"/>
        <v>0.70399999999999996</v>
      </c>
      <c r="E184" s="89"/>
    </row>
    <row r="185" spans="1:5">
      <c r="A185" s="90" t="s">
        <v>61</v>
      </c>
      <c r="B185" s="290">
        <v>3</v>
      </c>
      <c r="C185" s="291">
        <v>24</v>
      </c>
      <c r="D185" s="105">
        <f t="shared" si="2"/>
        <v>8</v>
      </c>
      <c r="E185" s="89"/>
    </row>
    <row r="186" spans="1:5">
      <c r="A186" s="90" t="s">
        <v>160</v>
      </c>
      <c r="B186" s="290">
        <v>806</v>
      </c>
      <c r="C186" s="291">
        <v>464</v>
      </c>
      <c r="D186" s="105">
        <f t="shared" si="2"/>
        <v>0.57599999999999996</v>
      </c>
      <c r="E186" s="89"/>
    </row>
    <row r="187" spans="1:5">
      <c r="A187" s="90" t="s">
        <v>68</v>
      </c>
      <c r="B187" s="290">
        <v>15399</v>
      </c>
      <c r="C187" s="289">
        <v>3267</v>
      </c>
      <c r="D187" s="105">
        <f t="shared" si="2"/>
        <v>0.21199999999999999</v>
      </c>
      <c r="E187" s="89"/>
    </row>
    <row r="188" spans="1:5">
      <c r="A188" s="91" t="s">
        <v>161</v>
      </c>
      <c r="B188" s="290">
        <v>21461</v>
      </c>
      <c r="C188" s="289">
        <v>10652</v>
      </c>
      <c r="D188" s="105">
        <f t="shared" si="2"/>
        <v>0.496</v>
      </c>
      <c r="E188" s="89"/>
    </row>
    <row r="189" spans="1:5">
      <c r="A189" s="91" t="s">
        <v>162</v>
      </c>
      <c r="B189" s="292">
        <v>89663</v>
      </c>
      <c r="C189" s="289">
        <v>82435</v>
      </c>
      <c r="D189" s="105">
        <f t="shared" si="2"/>
        <v>0.91900000000000004</v>
      </c>
      <c r="E189" s="89"/>
    </row>
    <row r="190" spans="1:5">
      <c r="A190" s="91" t="s">
        <v>59</v>
      </c>
      <c r="B190" s="290">
        <v>33496</v>
      </c>
      <c r="C190" s="289">
        <v>35418</v>
      </c>
      <c r="D190" s="105">
        <f t="shared" si="2"/>
        <v>1.0569999999999999</v>
      </c>
      <c r="E190" s="89"/>
    </row>
    <row r="191" spans="1:5">
      <c r="A191" s="90" t="s">
        <v>60</v>
      </c>
      <c r="B191" s="290">
        <v>4761</v>
      </c>
      <c r="C191" s="291">
        <v>2689</v>
      </c>
      <c r="D191" s="105">
        <f t="shared" si="2"/>
        <v>0.56499999999999995</v>
      </c>
      <c r="E191" s="89"/>
    </row>
    <row r="192" spans="1:5">
      <c r="A192" s="90" t="s">
        <v>61</v>
      </c>
      <c r="B192" s="290">
        <v>12</v>
      </c>
      <c r="C192" s="291">
        <v>0</v>
      </c>
      <c r="D192" s="105">
        <f t="shared" si="2"/>
        <v>0</v>
      </c>
      <c r="E192" s="89"/>
    </row>
    <row r="193" spans="1:5">
      <c r="A193" s="90" t="s">
        <v>163</v>
      </c>
      <c r="B193" s="290">
        <v>2831</v>
      </c>
      <c r="C193" s="289">
        <v>7432</v>
      </c>
      <c r="D193" s="105">
        <f t="shared" si="2"/>
        <v>2.625</v>
      </c>
      <c r="E193" s="89"/>
    </row>
    <row r="194" spans="1:5">
      <c r="A194" s="90" t="s">
        <v>164</v>
      </c>
      <c r="B194" s="290">
        <v>408</v>
      </c>
      <c r="C194" s="289">
        <v>393</v>
      </c>
      <c r="D194" s="105">
        <f t="shared" si="2"/>
        <v>0.96299999999999997</v>
      </c>
      <c r="E194" s="89"/>
    </row>
    <row r="195" spans="1:5">
      <c r="A195" s="90" t="s">
        <v>68</v>
      </c>
      <c r="B195" s="290">
        <v>1687</v>
      </c>
      <c r="C195" s="289">
        <v>3294</v>
      </c>
      <c r="D195" s="105">
        <f t="shared" si="2"/>
        <v>1.9530000000000001</v>
      </c>
      <c r="E195" s="92"/>
    </row>
    <row r="196" spans="1:5">
      <c r="A196" s="91" t="s">
        <v>165</v>
      </c>
      <c r="B196" s="290">
        <v>46468</v>
      </c>
      <c r="C196" s="289">
        <v>33209</v>
      </c>
      <c r="D196" s="105">
        <f t="shared" si="2"/>
        <v>0.71499999999999997</v>
      </c>
      <c r="E196" s="92"/>
    </row>
    <row r="197" spans="1:5">
      <c r="A197" s="91" t="s">
        <v>166</v>
      </c>
      <c r="B197" s="293">
        <v>146</v>
      </c>
      <c r="C197" s="294">
        <v>1498</v>
      </c>
      <c r="D197" s="105">
        <f t="shared" ref="D197:D260" si="3">IF(B197=0,"",ROUND(C197/B197,3))</f>
        <v>10.26</v>
      </c>
      <c r="E197" s="92"/>
    </row>
    <row r="198" spans="1:5">
      <c r="A198" s="91" t="s">
        <v>59</v>
      </c>
      <c r="B198" s="290">
        <v>93</v>
      </c>
      <c r="C198" s="291">
        <v>211</v>
      </c>
      <c r="D198" s="105">
        <f t="shared" si="3"/>
        <v>2.2690000000000001</v>
      </c>
      <c r="E198" s="89"/>
    </row>
    <row r="199" spans="1:5">
      <c r="A199" s="89" t="s">
        <v>60</v>
      </c>
      <c r="B199" s="290">
        <v>0</v>
      </c>
      <c r="C199" s="291">
        <v>55</v>
      </c>
      <c r="D199" s="105" t="str">
        <f t="shared" si="3"/>
        <v/>
      </c>
      <c r="E199" s="89"/>
    </row>
    <row r="200" spans="1:5">
      <c r="A200" s="90" t="s">
        <v>61</v>
      </c>
      <c r="B200" s="290">
        <v>0</v>
      </c>
      <c r="C200" s="295">
        <v>0</v>
      </c>
      <c r="D200" s="105" t="str">
        <f t="shared" si="3"/>
        <v/>
      </c>
      <c r="E200" s="89"/>
    </row>
    <row r="201" spans="1:5">
      <c r="A201" s="90" t="s">
        <v>68</v>
      </c>
      <c r="B201" s="290">
        <v>53</v>
      </c>
      <c r="C201" s="295">
        <v>26</v>
      </c>
      <c r="D201" s="105">
        <f t="shared" si="3"/>
        <v>0.49099999999999999</v>
      </c>
      <c r="E201" s="89"/>
    </row>
    <row r="202" spans="1:5">
      <c r="A202" s="90" t="s">
        <v>167</v>
      </c>
      <c r="B202" s="290">
        <v>0</v>
      </c>
      <c r="C202" s="295">
        <v>1206</v>
      </c>
      <c r="D202" s="105" t="str">
        <f t="shared" si="3"/>
        <v/>
      </c>
      <c r="E202" s="89"/>
    </row>
    <row r="203" spans="1:5">
      <c r="A203" s="91" t="s">
        <v>168</v>
      </c>
      <c r="B203" s="296">
        <v>119179</v>
      </c>
      <c r="C203" s="289">
        <v>188174</v>
      </c>
      <c r="D203" s="105">
        <f t="shared" si="3"/>
        <v>1.579</v>
      </c>
      <c r="E203" s="89"/>
    </row>
    <row r="204" spans="1:5">
      <c r="A204" s="91" t="s">
        <v>59</v>
      </c>
      <c r="B204" s="290">
        <v>54251</v>
      </c>
      <c r="C204" s="289">
        <v>46914</v>
      </c>
      <c r="D204" s="105">
        <f t="shared" si="3"/>
        <v>0.86499999999999999</v>
      </c>
      <c r="E204" s="89"/>
    </row>
    <row r="205" spans="1:5">
      <c r="A205" s="91" t="s">
        <v>60</v>
      </c>
      <c r="B205" s="290">
        <v>8767</v>
      </c>
      <c r="C205" s="295">
        <v>3228</v>
      </c>
      <c r="D205" s="105">
        <f t="shared" si="3"/>
        <v>0.36799999999999999</v>
      </c>
      <c r="E205" s="89"/>
    </row>
    <row r="206" spans="1:5">
      <c r="A206" s="90" t="s">
        <v>61</v>
      </c>
      <c r="B206" s="290">
        <v>0</v>
      </c>
      <c r="C206" s="295">
        <v>0</v>
      </c>
      <c r="D206" s="105" t="str">
        <f t="shared" si="3"/>
        <v/>
      </c>
      <c r="E206" s="89"/>
    </row>
    <row r="207" spans="1:5">
      <c r="A207" s="90" t="s">
        <v>68</v>
      </c>
      <c r="B207" s="290">
        <v>8056</v>
      </c>
      <c r="C207" s="289">
        <v>6620</v>
      </c>
      <c r="D207" s="105">
        <f t="shared" si="3"/>
        <v>0.82199999999999995</v>
      </c>
      <c r="E207" s="89"/>
    </row>
    <row r="208" spans="1:5">
      <c r="A208" s="90" t="s">
        <v>169</v>
      </c>
      <c r="B208" s="290">
        <v>48105</v>
      </c>
      <c r="C208" s="289">
        <v>131412</v>
      </c>
      <c r="D208" s="105">
        <f t="shared" si="3"/>
        <v>2.7320000000000002</v>
      </c>
      <c r="E208" s="89"/>
    </row>
    <row r="209" spans="1:5">
      <c r="A209" s="90" t="s">
        <v>170</v>
      </c>
      <c r="B209" s="296">
        <v>37437</v>
      </c>
      <c r="C209" s="289">
        <v>38993</v>
      </c>
      <c r="D209" s="105">
        <f t="shared" si="3"/>
        <v>1.042</v>
      </c>
      <c r="E209" s="89"/>
    </row>
    <row r="210" spans="1:5">
      <c r="A210" s="90" t="s">
        <v>59</v>
      </c>
      <c r="B210" s="290">
        <v>16159</v>
      </c>
      <c r="C210" s="289">
        <v>16541</v>
      </c>
      <c r="D210" s="105">
        <f t="shared" si="3"/>
        <v>1.024</v>
      </c>
      <c r="E210" s="89"/>
    </row>
    <row r="211" spans="1:5">
      <c r="A211" s="90" t="s">
        <v>60</v>
      </c>
      <c r="B211" s="290">
        <v>535</v>
      </c>
      <c r="C211" s="295">
        <v>977</v>
      </c>
      <c r="D211" s="105">
        <f t="shared" si="3"/>
        <v>1.8260000000000001</v>
      </c>
      <c r="E211" s="89"/>
    </row>
    <row r="212" spans="1:5">
      <c r="A212" s="90" t="s">
        <v>61</v>
      </c>
      <c r="B212" s="290">
        <v>0</v>
      </c>
      <c r="C212" s="295">
        <v>0</v>
      </c>
      <c r="D212" s="105" t="str">
        <f t="shared" si="3"/>
        <v/>
      </c>
      <c r="E212" s="89"/>
    </row>
    <row r="213" spans="1:5">
      <c r="A213" s="90" t="s">
        <v>171</v>
      </c>
      <c r="B213" s="290">
        <v>2344</v>
      </c>
      <c r="C213" s="295">
        <v>2822</v>
      </c>
      <c r="D213" s="105">
        <f t="shared" si="3"/>
        <v>1.204</v>
      </c>
      <c r="E213" s="89"/>
    </row>
    <row r="214" spans="1:5">
      <c r="A214" s="90" t="s">
        <v>68</v>
      </c>
      <c r="B214" s="290">
        <v>5955</v>
      </c>
      <c r="C214" s="289">
        <v>5791</v>
      </c>
      <c r="D214" s="105">
        <f t="shared" si="3"/>
        <v>0.97199999999999998</v>
      </c>
      <c r="E214" s="89"/>
    </row>
    <row r="215" spans="1:5">
      <c r="A215" s="90" t="s">
        <v>172</v>
      </c>
      <c r="B215" s="290">
        <v>12444</v>
      </c>
      <c r="C215" s="289">
        <v>12862</v>
      </c>
      <c r="D215" s="105">
        <f t="shared" si="3"/>
        <v>1.034</v>
      </c>
      <c r="E215" s="89"/>
    </row>
    <row r="216" spans="1:5">
      <c r="A216" s="90" t="s">
        <v>173</v>
      </c>
      <c r="B216" s="296">
        <v>233121</v>
      </c>
      <c r="C216" s="289">
        <v>202029</v>
      </c>
      <c r="D216" s="105">
        <f t="shared" si="3"/>
        <v>0.86699999999999999</v>
      </c>
      <c r="E216" s="89"/>
    </row>
    <row r="217" spans="1:5">
      <c r="A217" s="90" t="s">
        <v>59</v>
      </c>
      <c r="B217" s="290">
        <v>123785</v>
      </c>
      <c r="C217" s="289">
        <v>117850</v>
      </c>
      <c r="D217" s="105">
        <f t="shared" si="3"/>
        <v>0.95199999999999996</v>
      </c>
      <c r="E217" s="89"/>
    </row>
    <row r="218" spans="1:5">
      <c r="A218" s="90" t="s">
        <v>60</v>
      </c>
      <c r="B218" s="290">
        <v>9024</v>
      </c>
      <c r="C218" s="289">
        <v>5593</v>
      </c>
      <c r="D218" s="105">
        <f t="shared" si="3"/>
        <v>0.62</v>
      </c>
      <c r="E218" s="89"/>
    </row>
    <row r="219" spans="1:5">
      <c r="A219" s="90" t="s">
        <v>61</v>
      </c>
      <c r="B219" s="290">
        <v>1661</v>
      </c>
      <c r="C219" s="289">
        <v>1663</v>
      </c>
      <c r="D219" s="105">
        <f t="shared" si="3"/>
        <v>1.0009999999999999</v>
      </c>
      <c r="E219" s="89"/>
    </row>
    <row r="220" spans="1:5">
      <c r="A220" s="90" t="s">
        <v>174</v>
      </c>
      <c r="B220" s="290">
        <v>17238</v>
      </c>
      <c r="C220" s="289">
        <v>11586</v>
      </c>
      <c r="D220" s="105">
        <f t="shared" si="3"/>
        <v>0.67200000000000004</v>
      </c>
      <c r="E220" s="89"/>
    </row>
    <row r="221" spans="1:5">
      <c r="A221" s="90" t="s">
        <v>175</v>
      </c>
      <c r="B221" s="290">
        <v>2967</v>
      </c>
      <c r="C221" s="289">
        <v>2210</v>
      </c>
      <c r="D221" s="105">
        <f t="shared" si="3"/>
        <v>0.745</v>
      </c>
      <c r="E221" s="89"/>
    </row>
    <row r="222" spans="1:5">
      <c r="A222" s="90" t="s">
        <v>100</v>
      </c>
      <c r="B222" s="290">
        <v>1403</v>
      </c>
      <c r="C222" s="289">
        <v>44</v>
      </c>
      <c r="D222" s="105">
        <f t="shared" si="3"/>
        <v>3.1E-2</v>
      </c>
      <c r="E222" s="89"/>
    </row>
    <row r="223" spans="1:5">
      <c r="A223" s="90" t="s">
        <v>176</v>
      </c>
      <c r="B223" s="290">
        <v>23151</v>
      </c>
      <c r="C223" s="289">
        <v>14801</v>
      </c>
      <c r="D223" s="105">
        <f t="shared" si="3"/>
        <v>0.63900000000000001</v>
      </c>
      <c r="E223" s="89"/>
    </row>
    <row r="224" spans="1:5">
      <c r="A224" s="90" t="s">
        <v>177</v>
      </c>
      <c r="B224" s="290">
        <v>727</v>
      </c>
      <c r="C224" s="289">
        <v>718</v>
      </c>
      <c r="D224" s="105">
        <f t="shared" si="3"/>
        <v>0.98799999999999999</v>
      </c>
      <c r="E224" s="89"/>
    </row>
    <row r="225" spans="1:5">
      <c r="A225" s="90" t="s">
        <v>178</v>
      </c>
      <c r="B225" s="290">
        <v>36</v>
      </c>
      <c r="C225" s="291">
        <v>0</v>
      </c>
      <c r="D225" s="105">
        <f t="shared" si="3"/>
        <v>0</v>
      </c>
      <c r="E225" s="89"/>
    </row>
    <row r="226" spans="1:5">
      <c r="A226" s="90" t="s">
        <v>179</v>
      </c>
      <c r="B226" s="290">
        <v>4</v>
      </c>
      <c r="C226" s="291">
        <v>0</v>
      </c>
      <c r="D226" s="105">
        <f t="shared" si="3"/>
        <v>0</v>
      </c>
      <c r="E226" s="89"/>
    </row>
    <row r="227" spans="1:5">
      <c r="A227" s="90" t="s">
        <v>180</v>
      </c>
      <c r="B227" s="290">
        <v>1439</v>
      </c>
      <c r="C227" s="291">
        <v>1769</v>
      </c>
      <c r="D227" s="105">
        <f t="shared" si="3"/>
        <v>1.2290000000000001</v>
      </c>
      <c r="E227" s="89"/>
    </row>
    <row r="228" spans="1:5">
      <c r="A228" s="90" t="s">
        <v>181</v>
      </c>
      <c r="B228" s="290">
        <v>2967</v>
      </c>
      <c r="C228" s="291">
        <v>2855</v>
      </c>
      <c r="D228" s="105">
        <f t="shared" si="3"/>
        <v>0.96199999999999997</v>
      </c>
      <c r="E228" s="89"/>
    </row>
    <row r="229" spans="1:5">
      <c r="A229" s="90" t="s">
        <v>68</v>
      </c>
      <c r="B229" s="290">
        <v>33880</v>
      </c>
      <c r="C229" s="289">
        <v>32853</v>
      </c>
      <c r="D229" s="105">
        <f t="shared" si="3"/>
        <v>0.97</v>
      </c>
      <c r="E229" s="89"/>
    </row>
    <row r="230" spans="1:5">
      <c r="A230" s="90" t="s">
        <v>182</v>
      </c>
      <c r="B230" s="290">
        <v>14839</v>
      </c>
      <c r="C230" s="289">
        <v>10087</v>
      </c>
      <c r="D230" s="105">
        <f t="shared" si="3"/>
        <v>0.68</v>
      </c>
      <c r="E230" s="89"/>
    </row>
    <row r="231" spans="1:5">
      <c r="A231" s="90" t="s">
        <v>183</v>
      </c>
      <c r="B231" s="292">
        <v>24465</v>
      </c>
      <c r="C231" s="289">
        <v>43258</v>
      </c>
      <c r="D231" s="105">
        <f t="shared" si="3"/>
        <v>1.768</v>
      </c>
      <c r="E231" s="89"/>
    </row>
    <row r="232" spans="1:5">
      <c r="A232" s="91" t="s">
        <v>184</v>
      </c>
      <c r="B232" s="290">
        <v>6</v>
      </c>
      <c r="C232" s="289">
        <v>13</v>
      </c>
      <c r="D232" s="105">
        <f t="shared" si="3"/>
        <v>2.1669999999999998</v>
      </c>
      <c r="E232" s="89"/>
    </row>
    <row r="233" spans="1:5">
      <c r="A233" s="91" t="s">
        <v>185</v>
      </c>
      <c r="B233" s="290">
        <v>24459</v>
      </c>
      <c r="C233" s="289">
        <v>43245</v>
      </c>
      <c r="D233" s="105">
        <f t="shared" si="3"/>
        <v>1.768</v>
      </c>
      <c r="E233" s="89"/>
    </row>
    <row r="234" spans="1:5">
      <c r="A234" s="89" t="s">
        <v>186</v>
      </c>
      <c r="B234" s="292">
        <v>306</v>
      </c>
      <c r="C234" s="289">
        <v>420</v>
      </c>
      <c r="D234" s="105">
        <f t="shared" si="3"/>
        <v>1.373</v>
      </c>
      <c r="E234" s="89"/>
    </row>
    <row r="235" spans="1:5">
      <c r="A235" s="90" t="s">
        <v>187</v>
      </c>
      <c r="B235" s="290">
        <v>150</v>
      </c>
      <c r="C235" s="289">
        <v>270</v>
      </c>
      <c r="D235" s="105">
        <f t="shared" si="3"/>
        <v>1.8</v>
      </c>
      <c r="E235" s="89"/>
    </row>
    <row r="236" spans="1:5">
      <c r="A236" s="90" t="s">
        <v>188</v>
      </c>
      <c r="B236" s="292">
        <v>0</v>
      </c>
      <c r="C236" s="291">
        <v>0</v>
      </c>
      <c r="D236" s="105" t="str">
        <f t="shared" si="3"/>
        <v/>
      </c>
      <c r="E236" s="89"/>
    </row>
    <row r="237" spans="1:5">
      <c r="A237" s="90" t="s">
        <v>189</v>
      </c>
      <c r="B237" s="290">
        <v>156</v>
      </c>
      <c r="C237" s="289">
        <v>150</v>
      </c>
      <c r="D237" s="105">
        <f t="shared" si="3"/>
        <v>0.96199999999999997</v>
      </c>
      <c r="E237" s="89"/>
    </row>
    <row r="238" spans="1:5">
      <c r="A238" s="89" t="s">
        <v>190</v>
      </c>
      <c r="B238" s="292">
        <v>75145</v>
      </c>
      <c r="C238" s="289">
        <v>31006</v>
      </c>
      <c r="D238" s="105">
        <f t="shared" si="3"/>
        <v>0.41299999999999998</v>
      </c>
      <c r="E238" s="89"/>
    </row>
    <row r="239" spans="1:5">
      <c r="A239" s="91" t="s">
        <v>191</v>
      </c>
      <c r="B239" s="292">
        <v>40463</v>
      </c>
      <c r="C239" s="289">
        <v>30247</v>
      </c>
      <c r="D239" s="105">
        <f t="shared" si="3"/>
        <v>0.748</v>
      </c>
      <c r="E239" s="89"/>
    </row>
    <row r="240" spans="1:5">
      <c r="A240" s="91" t="s">
        <v>192</v>
      </c>
      <c r="B240" s="290">
        <v>301</v>
      </c>
      <c r="C240" s="291">
        <v>257</v>
      </c>
      <c r="D240" s="105">
        <f t="shared" si="3"/>
        <v>0.85399999999999998</v>
      </c>
      <c r="E240" s="89"/>
    </row>
    <row r="241" spans="1:5">
      <c r="A241" s="90" t="s">
        <v>193</v>
      </c>
      <c r="B241" s="290">
        <v>0</v>
      </c>
      <c r="C241" s="289">
        <v>158</v>
      </c>
      <c r="D241" s="105" t="str">
        <f t="shared" si="3"/>
        <v/>
      </c>
      <c r="E241" s="89"/>
    </row>
    <row r="242" spans="1:5">
      <c r="A242" s="90" t="s">
        <v>194</v>
      </c>
      <c r="B242" s="290">
        <v>2242</v>
      </c>
      <c r="C242" s="289">
        <v>1631</v>
      </c>
      <c r="D242" s="105">
        <f t="shared" si="3"/>
        <v>0.72699999999999998</v>
      </c>
      <c r="E242" s="89"/>
    </row>
    <row r="243" spans="1:5">
      <c r="A243" s="90" t="s">
        <v>195</v>
      </c>
      <c r="B243" s="290">
        <v>0</v>
      </c>
      <c r="C243" s="291">
        <v>0</v>
      </c>
      <c r="D243" s="105" t="str">
        <f t="shared" si="3"/>
        <v/>
      </c>
      <c r="E243" s="89"/>
    </row>
    <row r="244" spans="1:5">
      <c r="A244" s="91" t="s">
        <v>196</v>
      </c>
      <c r="B244" s="290">
        <v>21</v>
      </c>
      <c r="C244" s="291">
        <v>15</v>
      </c>
      <c r="D244" s="105">
        <f t="shared" si="3"/>
        <v>0.71399999999999997</v>
      </c>
      <c r="E244" s="89"/>
    </row>
    <row r="245" spans="1:5">
      <c r="A245" s="91" t="s">
        <v>197</v>
      </c>
      <c r="B245" s="290">
        <v>2139</v>
      </c>
      <c r="C245" s="291">
        <v>1137</v>
      </c>
      <c r="D245" s="105">
        <f t="shared" si="3"/>
        <v>0.53200000000000003</v>
      </c>
      <c r="E245" s="89"/>
    </row>
    <row r="246" spans="1:5">
      <c r="A246" s="91" t="s">
        <v>198</v>
      </c>
      <c r="B246" s="290">
        <v>16921</v>
      </c>
      <c r="C246" s="289">
        <v>9718</v>
      </c>
      <c r="D246" s="105">
        <f t="shared" si="3"/>
        <v>0.57399999999999995</v>
      </c>
      <c r="E246" s="89"/>
    </row>
    <row r="247" spans="1:5">
      <c r="A247" s="91" t="s">
        <v>199</v>
      </c>
      <c r="B247" s="290">
        <v>17281</v>
      </c>
      <c r="C247" s="289">
        <v>9190</v>
      </c>
      <c r="D247" s="105">
        <f t="shared" si="3"/>
        <v>0.53200000000000003</v>
      </c>
      <c r="E247" s="89"/>
    </row>
    <row r="248" spans="1:5">
      <c r="A248" s="91" t="s">
        <v>200</v>
      </c>
      <c r="B248" s="290">
        <v>1558</v>
      </c>
      <c r="C248" s="289">
        <v>8141</v>
      </c>
      <c r="D248" s="105">
        <f t="shared" si="3"/>
        <v>5.2249999999999996</v>
      </c>
      <c r="E248" s="89"/>
    </row>
    <row r="249" spans="1:5">
      <c r="A249" s="91" t="s">
        <v>201</v>
      </c>
      <c r="B249" s="292">
        <v>34682</v>
      </c>
      <c r="C249" s="291">
        <v>759</v>
      </c>
      <c r="D249" s="105">
        <f t="shared" si="3"/>
        <v>2.1999999999999999E-2</v>
      </c>
      <c r="E249" s="89"/>
    </row>
    <row r="250" spans="1:5">
      <c r="A250" s="89" t="s">
        <v>202</v>
      </c>
      <c r="B250" s="292">
        <v>4743855</v>
      </c>
      <c r="C250" s="289">
        <v>3792548</v>
      </c>
      <c r="D250" s="105">
        <f t="shared" si="3"/>
        <v>0.79900000000000004</v>
      </c>
      <c r="E250" s="89"/>
    </row>
    <row r="251" spans="1:5">
      <c r="A251" s="90" t="s">
        <v>203</v>
      </c>
      <c r="B251" s="292">
        <v>18577</v>
      </c>
      <c r="C251" s="289">
        <v>17950</v>
      </c>
      <c r="D251" s="105">
        <f t="shared" si="3"/>
        <v>0.96599999999999997</v>
      </c>
      <c r="E251" s="89"/>
    </row>
    <row r="252" spans="1:5">
      <c r="A252" s="90" t="s">
        <v>204</v>
      </c>
      <c r="B252" s="290">
        <v>15783</v>
      </c>
      <c r="C252" s="289">
        <v>11576</v>
      </c>
      <c r="D252" s="105">
        <f t="shared" si="3"/>
        <v>0.73299999999999998</v>
      </c>
      <c r="E252" s="89"/>
    </row>
    <row r="253" spans="1:5">
      <c r="A253" s="91" t="s">
        <v>205</v>
      </c>
      <c r="B253" s="290">
        <v>2794</v>
      </c>
      <c r="C253" s="289">
        <v>6374</v>
      </c>
      <c r="D253" s="105">
        <f t="shared" si="3"/>
        <v>2.2810000000000001</v>
      </c>
      <c r="E253" s="89"/>
    </row>
    <row r="254" spans="1:5">
      <c r="A254" s="91" t="s">
        <v>206</v>
      </c>
      <c r="B254" s="290">
        <v>2933121</v>
      </c>
      <c r="C254" s="289">
        <v>2569339</v>
      </c>
      <c r="D254" s="105">
        <f t="shared" si="3"/>
        <v>0.876</v>
      </c>
      <c r="E254" s="89"/>
    </row>
    <row r="255" spans="1:5">
      <c r="A255" s="91" t="s">
        <v>59</v>
      </c>
      <c r="B255" s="290">
        <v>1853094</v>
      </c>
      <c r="C255" s="289">
        <v>1763232</v>
      </c>
      <c r="D255" s="105">
        <f t="shared" si="3"/>
        <v>0.95199999999999996</v>
      </c>
      <c r="E255" s="89"/>
    </row>
    <row r="256" spans="1:5">
      <c r="A256" s="91" t="s">
        <v>60</v>
      </c>
      <c r="B256" s="290">
        <v>107693</v>
      </c>
      <c r="C256" s="289">
        <v>94040</v>
      </c>
      <c r="D256" s="105">
        <f t="shared" si="3"/>
        <v>0.873</v>
      </c>
      <c r="E256" s="89"/>
    </row>
    <row r="257" spans="1:5">
      <c r="A257" s="91" t="s">
        <v>61</v>
      </c>
      <c r="B257" s="290">
        <v>4726</v>
      </c>
      <c r="C257" s="289">
        <v>1413</v>
      </c>
      <c r="D257" s="105">
        <f t="shared" si="3"/>
        <v>0.29899999999999999</v>
      </c>
      <c r="E257" s="89"/>
    </row>
    <row r="258" spans="1:5">
      <c r="A258" s="91" t="s">
        <v>100</v>
      </c>
      <c r="B258" s="297">
        <v>37727</v>
      </c>
      <c r="C258" s="289">
        <v>16621</v>
      </c>
      <c r="D258" s="105">
        <f t="shared" si="3"/>
        <v>0.441</v>
      </c>
      <c r="E258" s="89"/>
    </row>
    <row r="259" spans="1:5">
      <c r="A259" s="91" t="s">
        <v>207</v>
      </c>
      <c r="B259" s="290">
        <v>23008</v>
      </c>
      <c r="C259" s="289">
        <v>160555</v>
      </c>
      <c r="D259" s="105">
        <f t="shared" si="3"/>
        <v>6.9779999999999998</v>
      </c>
      <c r="E259" s="89"/>
    </row>
    <row r="260" spans="1:5">
      <c r="A260" s="91" t="s">
        <v>208</v>
      </c>
      <c r="B260" s="290">
        <v>15788</v>
      </c>
      <c r="C260" s="289">
        <v>22504</v>
      </c>
      <c r="D260" s="105">
        <f t="shared" si="3"/>
        <v>1.425</v>
      </c>
      <c r="E260" s="89"/>
    </row>
    <row r="261" spans="1:5">
      <c r="A261" s="91" t="s">
        <v>209</v>
      </c>
      <c r="B261" s="290">
        <v>130</v>
      </c>
      <c r="C261" s="291">
        <v>205</v>
      </c>
      <c r="D261" s="105">
        <f t="shared" ref="D261:D324" si="4">IF(B261=0,"",ROUND(C261/B261,3))</f>
        <v>1.577</v>
      </c>
      <c r="E261" s="89"/>
    </row>
    <row r="262" spans="1:5">
      <c r="A262" s="91" t="s">
        <v>210</v>
      </c>
      <c r="B262" s="290">
        <v>36</v>
      </c>
      <c r="C262" s="289">
        <v>600</v>
      </c>
      <c r="D262" s="105">
        <f t="shared" si="4"/>
        <v>16.667000000000002</v>
      </c>
      <c r="E262" s="89"/>
    </row>
    <row r="263" spans="1:5">
      <c r="A263" s="91" t="s">
        <v>68</v>
      </c>
      <c r="B263" s="290">
        <v>216179</v>
      </c>
      <c r="C263" s="289">
        <v>148921</v>
      </c>
      <c r="D263" s="105">
        <f t="shared" si="4"/>
        <v>0.68899999999999995</v>
      </c>
      <c r="E263" s="89"/>
    </row>
    <row r="264" spans="1:5">
      <c r="A264" s="91" t="s">
        <v>211</v>
      </c>
      <c r="B264" s="290">
        <v>674740</v>
      </c>
      <c r="C264" s="289">
        <v>361248</v>
      </c>
      <c r="D264" s="105">
        <f t="shared" si="4"/>
        <v>0.53500000000000003</v>
      </c>
      <c r="E264" s="89"/>
    </row>
    <row r="265" spans="1:5">
      <c r="A265" s="90" t="s">
        <v>212</v>
      </c>
      <c r="B265" s="292">
        <v>74034</v>
      </c>
      <c r="C265" s="289">
        <v>55718</v>
      </c>
      <c r="D265" s="105">
        <f t="shared" si="4"/>
        <v>0.753</v>
      </c>
      <c r="E265" s="89"/>
    </row>
    <row r="266" spans="1:5">
      <c r="A266" s="90" t="s">
        <v>59</v>
      </c>
      <c r="B266" s="290">
        <v>54657</v>
      </c>
      <c r="C266" s="289">
        <v>47844</v>
      </c>
      <c r="D266" s="105">
        <f t="shared" si="4"/>
        <v>0.875</v>
      </c>
      <c r="E266" s="89"/>
    </row>
    <row r="267" spans="1:5">
      <c r="A267" s="90" t="s">
        <v>60</v>
      </c>
      <c r="B267" s="290">
        <v>264</v>
      </c>
      <c r="C267" s="291">
        <v>225</v>
      </c>
      <c r="D267" s="105">
        <f t="shared" si="4"/>
        <v>0.85199999999999998</v>
      </c>
      <c r="E267" s="89"/>
    </row>
    <row r="268" spans="1:5">
      <c r="A268" s="91" t="s">
        <v>61</v>
      </c>
      <c r="B268" s="290">
        <v>418</v>
      </c>
      <c r="C268" s="291">
        <v>0</v>
      </c>
      <c r="D268" s="105">
        <f t="shared" si="4"/>
        <v>0</v>
      </c>
      <c r="E268" s="89"/>
    </row>
    <row r="269" spans="1:5">
      <c r="A269" s="91" t="s">
        <v>213</v>
      </c>
      <c r="B269" s="290">
        <v>2449</v>
      </c>
      <c r="C269" s="291">
        <v>8</v>
      </c>
      <c r="D269" s="105">
        <f t="shared" si="4"/>
        <v>3.0000000000000001E-3</v>
      </c>
      <c r="E269" s="89"/>
    </row>
    <row r="270" spans="1:5">
      <c r="A270" s="91" t="s">
        <v>68</v>
      </c>
      <c r="B270" s="290">
        <v>1</v>
      </c>
      <c r="C270" s="291">
        <v>0</v>
      </c>
      <c r="D270" s="105">
        <f t="shared" si="4"/>
        <v>0</v>
      </c>
      <c r="E270" s="89"/>
    </row>
    <row r="271" spans="1:5">
      <c r="A271" s="89" t="s">
        <v>214</v>
      </c>
      <c r="B271" s="290">
        <v>16245</v>
      </c>
      <c r="C271" s="289">
        <v>7641</v>
      </c>
      <c r="D271" s="105">
        <f t="shared" si="4"/>
        <v>0.47</v>
      </c>
      <c r="E271" s="89"/>
    </row>
    <row r="272" spans="1:5">
      <c r="A272" s="90" t="s">
        <v>215</v>
      </c>
      <c r="B272" s="292">
        <v>122475</v>
      </c>
      <c r="C272" s="289">
        <v>101282</v>
      </c>
      <c r="D272" s="105">
        <f t="shared" si="4"/>
        <v>0.82699999999999996</v>
      </c>
      <c r="E272" s="89"/>
    </row>
    <row r="273" spans="1:5">
      <c r="A273" s="90" t="s">
        <v>59</v>
      </c>
      <c r="B273" s="290">
        <v>92079</v>
      </c>
      <c r="C273" s="289">
        <v>86822</v>
      </c>
      <c r="D273" s="105">
        <f t="shared" si="4"/>
        <v>0.94299999999999995</v>
      </c>
      <c r="E273" s="89"/>
    </row>
    <row r="274" spans="1:5">
      <c r="A274" s="90" t="s">
        <v>60</v>
      </c>
      <c r="B274" s="290">
        <v>2674</v>
      </c>
      <c r="C274" s="289">
        <v>6433</v>
      </c>
      <c r="D274" s="105">
        <f t="shared" si="4"/>
        <v>2.4060000000000001</v>
      </c>
      <c r="E274" s="89"/>
    </row>
    <row r="275" spans="1:5">
      <c r="A275" s="91" t="s">
        <v>61</v>
      </c>
      <c r="B275" s="290">
        <v>111</v>
      </c>
      <c r="C275" s="289">
        <v>83</v>
      </c>
      <c r="D275" s="105">
        <f t="shared" si="4"/>
        <v>0.748</v>
      </c>
      <c r="E275" s="89"/>
    </row>
    <row r="276" spans="1:5">
      <c r="A276" s="91" t="s">
        <v>216</v>
      </c>
      <c r="B276" s="290">
        <v>884</v>
      </c>
      <c r="C276" s="289">
        <v>0</v>
      </c>
      <c r="D276" s="105">
        <f t="shared" si="4"/>
        <v>0</v>
      </c>
      <c r="E276" s="89"/>
    </row>
    <row r="277" spans="1:5">
      <c r="A277" s="91" t="s">
        <v>217</v>
      </c>
      <c r="B277" s="290">
        <v>2951</v>
      </c>
      <c r="C277" s="289">
        <v>2578</v>
      </c>
      <c r="D277" s="105">
        <f t="shared" si="4"/>
        <v>0.874</v>
      </c>
      <c r="E277" s="89"/>
    </row>
    <row r="278" spans="1:5">
      <c r="A278" s="91" t="s">
        <v>68</v>
      </c>
      <c r="B278" s="290">
        <v>432</v>
      </c>
      <c r="C278" s="289">
        <v>588</v>
      </c>
      <c r="D278" s="105">
        <f t="shared" si="4"/>
        <v>1.361</v>
      </c>
      <c r="E278" s="89"/>
    </row>
    <row r="279" spans="1:5">
      <c r="A279" s="91" t="s">
        <v>218</v>
      </c>
      <c r="B279" s="290">
        <v>23344</v>
      </c>
      <c r="C279" s="289">
        <v>4778</v>
      </c>
      <c r="D279" s="105">
        <f t="shared" si="4"/>
        <v>0.20499999999999999</v>
      </c>
      <c r="E279" s="89"/>
    </row>
    <row r="280" spans="1:5">
      <c r="A280" s="89" t="s">
        <v>219</v>
      </c>
      <c r="B280" s="292">
        <v>236934</v>
      </c>
      <c r="C280" s="289">
        <v>196443</v>
      </c>
      <c r="D280" s="105">
        <f t="shared" si="4"/>
        <v>0.82899999999999996</v>
      </c>
      <c r="E280" s="89"/>
    </row>
    <row r="281" spans="1:5">
      <c r="A281" s="90" t="s">
        <v>59</v>
      </c>
      <c r="B281" s="290">
        <v>175459</v>
      </c>
      <c r="C281" s="289">
        <v>166786</v>
      </c>
      <c r="D281" s="105">
        <f t="shared" si="4"/>
        <v>0.95099999999999996</v>
      </c>
      <c r="E281" s="89"/>
    </row>
    <row r="282" spans="1:5">
      <c r="A282" s="90" t="s">
        <v>60</v>
      </c>
      <c r="B282" s="290">
        <v>4361</v>
      </c>
      <c r="C282" s="289">
        <v>9503</v>
      </c>
      <c r="D282" s="105">
        <f t="shared" si="4"/>
        <v>2.1789999999999998</v>
      </c>
      <c r="E282" s="89"/>
    </row>
    <row r="283" spans="1:5">
      <c r="A283" s="90" t="s">
        <v>61</v>
      </c>
      <c r="B283" s="290">
        <v>0</v>
      </c>
      <c r="C283" s="289">
        <v>0</v>
      </c>
      <c r="D283" s="105" t="str">
        <f t="shared" si="4"/>
        <v/>
      </c>
      <c r="E283" s="89"/>
    </row>
    <row r="284" spans="1:5">
      <c r="A284" s="91" t="s">
        <v>220</v>
      </c>
      <c r="B284" s="290">
        <v>2241</v>
      </c>
      <c r="C284" s="291">
        <v>716</v>
      </c>
      <c r="D284" s="105">
        <f t="shared" si="4"/>
        <v>0.32</v>
      </c>
      <c r="E284" s="89"/>
    </row>
    <row r="285" spans="1:5">
      <c r="A285" s="91" t="s">
        <v>221</v>
      </c>
      <c r="B285" s="290">
        <v>19</v>
      </c>
      <c r="C285" s="291">
        <v>210</v>
      </c>
      <c r="D285" s="105">
        <f t="shared" si="4"/>
        <v>11.053000000000001</v>
      </c>
      <c r="E285" s="89"/>
    </row>
    <row r="286" spans="1:5">
      <c r="A286" s="91" t="s">
        <v>222</v>
      </c>
      <c r="B286" s="290">
        <v>2697</v>
      </c>
      <c r="C286" s="291">
        <v>20</v>
      </c>
      <c r="D286" s="105">
        <f t="shared" si="4"/>
        <v>7.0000000000000001E-3</v>
      </c>
      <c r="E286" s="89"/>
    </row>
    <row r="287" spans="1:5">
      <c r="A287" s="90" t="s">
        <v>68</v>
      </c>
      <c r="B287" s="290">
        <v>1113</v>
      </c>
      <c r="C287" s="289">
        <v>1785</v>
      </c>
      <c r="D287" s="105">
        <f t="shared" si="4"/>
        <v>1.6040000000000001</v>
      </c>
      <c r="E287" s="89"/>
    </row>
    <row r="288" spans="1:5">
      <c r="A288" s="90" t="s">
        <v>223</v>
      </c>
      <c r="B288" s="290">
        <v>51044</v>
      </c>
      <c r="C288" s="289">
        <v>17423</v>
      </c>
      <c r="D288" s="105">
        <f t="shared" si="4"/>
        <v>0.34100000000000003</v>
      </c>
      <c r="E288" s="89"/>
    </row>
    <row r="289" spans="1:5">
      <c r="A289" s="90" t="s">
        <v>224</v>
      </c>
      <c r="B289" s="292">
        <v>123807</v>
      </c>
      <c r="C289" s="289">
        <v>74520</v>
      </c>
      <c r="D289" s="105">
        <f t="shared" si="4"/>
        <v>0.60199999999999998</v>
      </c>
      <c r="E289" s="89"/>
    </row>
    <row r="290" spans="1:5">
      <c r="A290" s="91" t="s">
        <v>59</v>
      </c>
      <c r="B290" s="290">
        <v>60868</v>
      </c>
      <c r="C290" s="289">
        <v>54065</v>
      </c>
      <c r="D290" s="105">
        <f t="shared" si="4"/>
        <v>0.88800000000000001</v>
      </c>
      <c r="E290" s="89"/>
    </row>
    <row r="291" spans="1:5">
      <c r="A291" s="91" t="s">
        <v>60</v>
      </c>
      <c r="B291" s="290">
        <v>10113</v>
      </c>
      <c r="C291" s="289">
        <v>5073</v>
      </c>
      <c r="D291" s="105">
        <f t="shared" si="4"/>
        <v>0.502</v>
      </c>
      <c r="E291" s="89"/>
    </row>
    <row r="292" spans="1:5">
      <c r="A292" s="91" t="s">
        <v>61</v>
      </c>
      <c r="B292" s="290">
        <v>6391</v>
      </c>
      <c r="C292" s="291">
        <v>3340</v>
      </c>
      <c r="D292" s="105">
        <f t="shared" si="4"/>
        <v>0.52300000000000002</v>
      </c>
      <c r="E292" s="89"/>
    </row>
    <row r="293" spans="1:5">
      <c r="A293" s="89" t="s">
        <v>225</v>
      </c>
      <c r="B293" s="290">
        <v>1747</v>
      </c>
      <c r="C293" s="291">
        <v>1075</v>
      </c>
      <c r="D293" s="105">
        <f t="shared" si="4"/>
        <v>0.61499999999999999</v>
      </c>
      <c r="E293" s="89"/>
    </row>
    <row r="294" spans="1:5">
      <c r="A294" s="90" t="s">
        <v>226</v>
      </c>
      <c r="B294" s="290">
        <v>922</v>
      </c>
      <c r="C294" s="291">
        <v>808</v>
      </c>
      <c r="D294" s="105">
        <f t="shared" si="4"/>
        <v>0.876</v>
      </c>
      <c r="E294" s="89"/>
    </row>
    <row r="295" spans="1:5">
      <c r="A295" s="90" t="s">
        <v>227</v>
      </c>
      <c r="B295" s="290">
        <v>6</v>
      </c>
      <c r="C295" s="291">
        <v>34</v>
      </c>
      <c r="D295" s="105">
        <f t="shared" si="4"/>
        <v>5.6669999999999998</v>
      </c>
      <c r="E295" s="89"/>
    </row>
    <row r="296" spans="1:5">
      <c r="A296" s="90" t="s">
        <v>228</v>
      </c>
      <c r="B296" s="290">
        <v>714</v>
      </c>
      <c r="C296" s="289">
        <v>1633</v>
      </c>
      <c r="D296" s="105">
        <f t="shared" si="4"/>
        <v>2.2869999999999999</v>
      </c>
      <c r="E296" s="89"/>
    </row>
    <row r="297" spans="1:5">
      <c r="A297" s="91" t="s">
        <v>229</v>
      </c>
      <c r="B297" s="290">
        <v>60</v>
      </c>
      <c r="C297" s="291">
        <v>41</v>
      </c>
      <c r="D297" s="105">
        <f t="shared" si="4"/>
        <v>0.68300000000000005</v>
      </c>
      <c r="E297" s="89"/>
    </row>
    <row r="298" spans="1:5">
      <c r="A298" s="91" t="s">
        <v>230</v>
      </c>
      <c r="B298" s="290">
        <v>215</v>
      </c>
      <c r="C298" s="291">
        <v>157</v>
      </c>
      <c r="D298" s="105">
        <f t="shared" si="4"/>
        <v>0.73</v>
      </c>
      <c r="E298" s="89"/>
    </row>
    <row r="299" spans="1:5">
      <c r="A299" s="91" t="s">
        <v>231</v>
      </c>
      <c r="B299" s="290">
        <v>242</v>
      </c>
      <c r="C299" s="291">
        <v>100</v>
      </c>
      <c r="D299" s="105">
        <f t="shared" si="4"/>
        <v>0.41299999999999998</v>
      </c>
      <c r="E299" s="89"/>
    </row>
    <row r="300" spans="1:5">
      <c r="A300" s="91" t="s">
        <v>100</v>
      </c>
      <c r="B300" s="290">
        <v>65</v>
      </c>
      <c r="C300" s="291">
        <v>70</v>
      </c>
      <c r="D300" s="105">
        <f t="shared" si="4"/>
        <v>1.077</v>
      </c>
      <c r="E300" s="89"/>
    </row>
    <row r="301" spans="1:5">
      <c r="A301" s="91" t="s">
        <v>68</v>
      </c>
      <c r="B301" s="290">
        <v>2729</v>
      </c>
      <c r="C301" s="289">
        <v>1320</v>
      </c>
      <c r="D301" s="105">
        <f t="shared" si="4"/>
        <v>0.48399999999999999</v>
      </c>
      <c r="E301" s="89"/>
    </row>
    <row r="302" spans="1:5">
      <c r="A302" s="90" t="s">
        <v>232</v>
      </c>
      <c r="B302" s="290">
        <v>39735</v>
      </c>
      <c r="C302" s="289">
        <v>6804</v>
      </c>
      <c r="D302" s="105">
        <f t="shared" si="4"/>
        <v>0.17100000000000001</v>
      </c>
      <c r="E302" s="89"/>
    </row>
    <row r="303" spans="1:5">
      <c r="A303" s="90" t="s">
        <v>233</v>
      </c>
      <c r="B303" s="290">
        <v>463843</v>
      </c>
      <c r="C303" s="289">
        <v>390322</v>
      </c>
      <c r="D303" s="105">
        <f t="shared" si="4"/>
        <v>0.84099999999999997</v>
      </c>
      <c r="E303" s="89"/>
    </row>
    <row r="304" spans="1:5">
      <c r="A304" s="90" t="s">
        <v>59</v>
      </c>
      <c r="B304" s="290">
        <v>232506</v>
      </c>
      <c r="C304" s="289">
        <v>201705</v>
      </c>
      <c r="D304" s="105">
        <f t="shared" si="4"/>
        <v>0.86799999999999999</v>
      </c>
      <c r="E304" s="89"/>
    </row>
    <row r="305" spans="1:5">
      <c r="A305" s="91" t="s">
        <v>60</v>
      </c>
      <c r="B305" s="290">
        <v>1127</v>
      </c>
      <c r="C305" s="289">
        <v>107</v>
      </c>
      <c r="D305" s="105">
        <f t="shared" si="4"/>
        <v>9.5000000000000001E-2</v>
      </c>
      <c r="E305" s="89"/>
    </row>
    <row r="306" spans="1:5">
      <c r="A306" s="91" t="s">
        <v>61</v>
      </c>
      <c r="B306" s="290">
        <v>0</v>
      </c>
      <c r="C306" s="291">
        <v>0</v>
      </c>
      <c r="D306" s="105" t="str">
        <f t="shared" si="4"/>
        <v/>
      </c>
      <c r="E306" s="89"/>
    </row>
    <row r="307" spans="1:5">
      <c r="A307" s="91" t="s">
        <v>234</v>
      </c>
      <c r="B307" s="290">
        <v>85973</v>
      </c>
      <c r="C307" s="289">
        <v>119443</v>
      </c>
      <c r="D307" s="105">
        <f t="shared" si="4"/>
        <v>1.389</v>
      </c>
      <c r="E307" s="89"/>
    </row>
    <row r="308" spans="1:5">
      <c r="A308" s="89" t="s">
        <v>235</v>
      </c>
      <c r="B308" s="290">
        <v>19368</v>
      </c>
      <c r="C308" s="289">
        <v>16130</v>
      </c>
      <c r="D308" s="105">
        <f t="shared" si="4"/>
        <v>0.83299999999999996</v>
      </c>
      <c r="E308" s="89"/>
    </row>
    <row r="309" spans="1:5">
      <c r="A309" s="90" t="s">
        <v>236</v>
      </c>
      <c r="B309" s="290">
        <v>38351</v>
      </c>
      <c r="C309" s="289">
        <v>9570</v>
      </c>
      <c r="D309" s="105">
        <f t="shared" si="4"/>
        <v>0.25</v>
      </c>
      <c r="E309" s="89"/>
    </row>
    <row r="310" spans="1:5">
      <c r="A310" s="90" t="s">
        <v>100</v>
      </c>
      <c r="B310" s="290">
        <v>332</v>
      </c>
      <c r="C310" s="291">
        <v>0</v>
      </c>
      <c r="D310" s="105">
        <f t="shared" si="4"/>
        <v>0</v>
      </c>
      <c r="E310" s="89"/>
    </row>
    <row r="311" spans="1:5">
      <c r="A311" s="90" t="s">
        <v>68</v>
      </c>
      <c r="B311" s="290">
        <v>0</v>
      </c>
      <c r="C311" s="291">
        <v>0</v>
      </c>
      <c r="D311" s="105" t="str">
        <f t="shared" si="4"/>
        <v/>
      </c>
      <c r="E311" s="89"/>
    </row>
    <row r="312" spans="1:5">
      <c r="A312" s="90" t="s">
        <v>237</v>
      </c>
      <c r="B312" s="290">
        <v>86186</v>
      </c>
      <c r="C312" s="289">
        <v>43367</v>
      </c>
      <c r="D312" s="105">
        <f t="shared" si="4"/>
        <v>0.503</v>
      </c>
      <c r="E312" s="89"/>
    </row>
    <row r="313" spans="1:5">
      <c r="A313" s="91" t="s">
        <v>238</v>
      </c>
      <c r="B313" s="292">
        <v>65012</v>
      </c>
      <c r="C313" s="289">
        <v>50837</v>
      </c>
      <c r="D313" s="105">
        <f t="shared" si="4"/>
        <v>0.78200000000000003</v>
      </c>
      <c r="E313" s="89"/>
    </row>
    <row r="314" spans="1:5">
      <c r="A314" s="91" t="s">
        <v>59</v>
      </c>
      <c r="B314" s="290">
        <v>37242</v>
      </c>
      <c r="C314" s="289">
        <v>34660</v>
      </c>
      <c r="D314" s="105">
        <f t="shared" si="4"/>
        <v>0.93100000000000005</v>
      </c>
      <c r="E314" s="89"/>
    </row>
    <row r="315" spans="1:5">
      <c r="A315" s="91" t="s">
        <v>60</v>
      </c>
      <c r="B315" s="290">
        <v>772</v>
      </c>
      <c r="C315" s="289">
        <v>2293</v>
      </c>
      <c r="D315" s="105">
        <f t="shared" si="4"/>
        <v>2.97</v>
      </c>
      <c r="E315" s="89"/>
    </row>
    <row r="316" spans="1:5">
      <c r="A316" s="90" t="s">
        <v>61</v>
      </c>
      <c r="B316" s="290">
        <v>0</v>
      </c>
      <c r="C316" s="291">
        <v>0</v>
      </c>
      <c r="D316" s="105" t="str">
        <f t="shared" si="4"/>
        <v/>
      </c>
      <c r="E316" s="89"/>
    </row>
    <row r="317" spans="1:5">
      <c r="A317" s="90" t="s">
        <v>239</v>
      </c>
      <c r="B317" s="290">
        <v>13437</v>
      </c>
      <c r="C317" s="289">
        <v>3774</v>
      </c>
      <c r="D317" s="105">
        <f t="shared" si="4"/>
        <v>0.28100000000000003</v>
      </c>
      <c r="E317" s="89"/>
    </row>
    <row r="318" spans="1:5">
      <c r="A318" s="90" t="s">
        <v>240</v>
      </c>
      <c r="B318" s="290">
        <v>0</v>
      </c>
      <c r="C318" s="289">
        <v>1107</v>
      </c>
      <c r="D318" s="105" t="str">
        <f t="shared" si="4"/>
        <v/>
      </c>
      <c r="E318" s="89"/>
    </row>
    <row r="319" spans="1:5">
      <c r="A319" s="91" t="s">
        <v>241</v>
      </c>
      <c r="B319" s="290">
        <v>610</v>
      </c>
      <c r="C319" s="289">
        <v>3151</v>
      </c>
      <c r="D319" s="105">
        <f t="shared" si="4"/>
        <v>5.1660000000000004</v>
      </c>
      <c r="E319" s="89"/>
    </row>
    <row r="320" spans="1:5">
      <c r="A320" s="91" t="s">
        <v>100</v>
      </c>
      <c r="B320" s="290">
        <v>0</v>
      </c>
      <c r="C320" s="289">
        <v>700</v>
      </c>
      <c r="D320" s="105" t="str">
        <f t="shared" si="4"/>
        <v/>
      </c>
      <c r="E320" s="89"/>
    </row>
    <row r="321" spans="1:5">
      <c r="A321" s="91" t="s">
        <v>68</v>
      </c>
      <c r="B321" s="290">
        <v>0</v>
      </c>
      <c r="C321" s="291">
        <v>0</v>
      </c>
      <c r="D321" s="105" t="str">
        <f t="shared" si="4"/>
        <v/>
      </c>
      <c r="E321" s="89"/>
    </row>
    <row r="322" spans="1:5">
      <c r="A322" s="91" t="s">
        <v>242</v>
      </c>
      <c r="B322" s="290">
        <v>12951</v>
      </c>
      <c r="C322" s="289">
        <v>5152</v>
      </c>
      <c r="D322" s="105">
        <f t="shared" si="4"/>
        <v>0.39800000000000002</v>
      </c>
      <c r="E322" s="89"/>
    </row>
    <row r="323" spans="1:5">
      <c r="A323" s="89" t="s">
        <v>243</v>
      </c>
      <c r="B323" s="292">
        <v>2312</v>
      </c>
      <c r="C323" s="291">
        <v>1010</v>
      </c>
      <c r="D323" s="105">
        <f t="shared" si="4"/>
        <v>0.437</v>
      </c>
      <c r="E323" s="89"/>
    </row>
    <row r="324" spans="1:5">
      <c r="A324" s="90" t="s">
        <v>59</v>
      </c>
      <c r="B324" s="290">
        <v>480</v>
      </c>
      <c r="C324" s="291">
        <v>541</v>
      </c>
      <c r="D324" s="105">
        <f t="shared" si="4"/>
        <v>1.127</v>
      </c>
      <c r="E324" s="89"/>
    </row>
    <row r="325" spans="1:5">
      <c r="A325" s="90" t="s">
        <v>60</v>
      </c>
      <c r="B325" s="290">
        <v>43</v>
      </c>
      <c r="C325" s="291">
        <v>368</v>
      </c>
      <c r="D325" s="105">
        <f t="shared" ref="D325:D388" si="5">IF(B325=0,"",ROUND(C325/B325,3))</f>
        <v>8.5579999999999998</v>
      </c>
      <c r="E325" s="89"/>
    </row>
    <row r="326" spans="1:5">
      <c r="A326" s="90" t="s">
        <v>61</v>
      </c>
      <c r="B326" s="290">
        <v>0</v>
      </c>
      <c r="C326" s="291">
        <v>0</v>
      </c>
      <c r="D326" s="105" t="str">
        <f t="shared" si="5"/>
        <v/>
      </c>
      <c r="E326" s="89"/>
    </row>
    <row r="327" spans="1:5">
      <c r="A327" s="91" t="s">
        <v>244</v>
      </c>
      <c r="B327" s="290">
        <v>0</v>
      </c>
      <c r="C327" s="291">
        <v>0</v>
      </c>
      <c r="D327" s="105" t="str">
        <f t="shared" si="5"/>
        <v/>
      </c>
      <c r="E327" s="89"/>
    </row>
    <row r="328" spans="1:5">
      <c r="A328" s="91" t="s">
        <v>245</v>
      </c>
      <c r="B328" s="290">
        <v>780</v>
      </c>
      <c r="C328" s="291">
        <v>13</v>
      </c>
      <c r="D328" s="105">
        <f t="shared" si="5"/>
        <v>1.7000000000000001E-2</v>
      </c>
      <c r="E328" s="89"/>
    </row>
    <row r="329" spans="1:5">
      <c r="A329" s="91" t="s">
        <v>68</v>
      </c>
      <c r="B329" s="290">
        <v>44</v>
      </c>
      <c r="C329" s="291">
        <v>54</v>
      </c>
      <c r="D329" s="105">
        <f t="shared" si="5"/>
        <v>1.2270000000000001</v>
      </c>
      <c r="E329" s="89"/>
    </row>
    <row r="330" spans="1:5">
      <c r="A330" s="90" t="s">
        <v>246</v>
      </c>
      <c r="B330" s="290">
        <v>965</v>
      </c>
      <c r="C330" s="291">
        <v>34</v>
      </c>
      <c r="D330" s="105">
        <f t="shared" si="5"/>
        <v>3.5000000000000003E-2</v>
      </c>
      <c r="E330" s="89"/>
    </row>
    <row r="331" spans="1:5">
      <c r="A331" s="90" t="s">
        <v>247</v>
      </c>
      <c r="B331" s="292">
        <v>0</v>
      </c>
      <c r="C331" s="291">
        <v>0</v>
      </c>
      <c r="D331" s="105" t="str">
        <f t="shared" si="5"/>
        <v/>
      </c>
      <c r="E331" s="89"/>
    </row>
    <row r="332" spans="1:5">
      <c r="A332" s="90" t="s">
        <v>59</v>
      </c>
      <c r="B332" s="292">
        <v>0</v>
      </c>
      <c r="C332" s="291">
        <v>0</v>
      </c>
      <c r="D332" s="105" t="str">
        <f t="shared" si="5"/>
        <v/>
      </c>
      <c r="E332" s="89"/>
    </row>
    <row r="333" spans="1:5">
      <c r="A333" s="91" t="s">
        <v>60</v>
      </c>
      <c r="B333" s="292">
        <v>0</v>
      </c>
      <c r="C333" s="291">
        <v>0</v>
      </c>
      <c r="D333" s="105" t="str">
        <f t="shared" si="5"/>
        <v/>
      </c>
      <c r="E333" s="89"/>
    </row>
    <row r="334" spans="1:5">
      <c r="A334" s="90" t="s">
        <v>100</v>
      </c>
      <c r="B334" s="292">
        <v>0</v>
      </c>
      <c r="C334" s="291">
        <v>0</v>
      </c>
      <c r="D334" s="105" t="str">
        <f t="shared" si="5"/>
        <v/>
      </c>
      <c r="E334" s="89"/>
    </row>
    <row r="335" spans="1:5">
      <c r="A335" s="91" t="s">
        <v>248</v>
      </c>
      <c r="B335" s="292">
        <v>0</v>
      </c>
      <c r="C335" s="291">
        <v>0</v>
      </c>
      <c r="D335" s="105" t="str">
        <f t="shared" si="5"/>
        <v/>
      </c>
      <c r="E335" s="89"/>
    </row>
    <row r="336" spans="1:5">
      <c r="A336" s="90" t="s">
        <v>249</v>
      </c>
      <c r="B336" s="292">
        <v>0</v>
      </c>
      <c r="C336" s="291">
        <v>0</v>
      </c>
      <c r="D336" s="105" t="str">
        <f t="shared" si="5"/>
        <v/>
      </c>
      <c r="E336" s="89"/>
    </row>
    <row r="337" spans="1:5">
      <c r="A337" s="90" t="s">
        <v>250</v>
      </c>
      <c r="B337" s="292">
        <v>703740</v>
      </c>
      <c r="C337" s="289">
        <v>335127</v>
      </c>
      <c r="D337" s="105">
        <f t="shared" si="5"/>
        <v>0.47599999999999998</v>
      </c>
      <c r="E337" s="89"/>
    </row>
    <row r="338" spans="1:5">
      <c r="A338" s="90" t="s">
        <v>251</v>
      </c>
      <c r="B338" s="292"/>
      <c r="C338" s="291">
        <v>10</v>
      </c>
      <c r="D338" s="105" t="str">
        <f t="shared" si="5"/>
        <v/>
      </c>
      <c r="E338" s="89"/>
    </row>
    <row r="339" spans="1:5">
      <c r="A339" s="90" t="s">
        <v>252</v>
      </c>
      <c r="B339" s="290">
        <v>703740</v>
      </c>
      <c r="C339" s="289">
        <v>335117</v>
      </c>
      <c r="D339" s="105">
        <f t="shared" si="5"/>
        <v>0.47599999999999998</v>
      </c>
      <c r="E339" s="89"/>
    </row>
    <row r="340" spans="1:5">
      <c r="A340" s="89" t="s">
        <v>253</v>
      </c>
      <c r="B340" s="290">
        <v>9081133</v>
      </c>
      <c r="C340" s="289">
        <v>7755790</v>
      </c>
      <c r="D340" s="105">
        <f t="shared" si="5"/>
        <v>0.85399999999999998</v>
      </c>
      <c r="E340" s="89"/>
    </row>
    <row r="341" spans="1:5">
      <c r="A341" s="91" t="s">
        <v>254</v>
      </c>
      <c r="B341" s="290">
        <v>187791</v>
      </c>
      <c r="C341" s="289">
        <v>212466</v>
      </c>
      <c r="D341" s="105">
        <f t="shared" si="5"/>
        <v>1.131</v>
      </c>
      <c r="E341" s="89"/>
    </row>
    <row r="342" spans="1:5">
      <c r="A342" s="90" t="s">
        <v>59</v>
      </c>
      <c r="B342" s="290">
        <v>90445</v>
      </c>
      <c r="C342" s="289">
        <v>129954</v>
      </c>
      <c r="D342" s="105">
        <f t="shared" si="5"/>
        <v>1.4370000000000001</v>
      </c>
      <c r="E342" s="89"/>
    </row>
    <row r="343" spans="1:5">
      <c r="A343" s="90" t="s">
        <v>60</v>
      </c>
      <c r="B343" s="290">
        <v>33936</v>
      </c>
      <c r="C343" s="291">
        <v>9544</v>
      </c>
      <c r="D343" s="105">
        <f t="shared" si="5"/>
        <v>0.28100000000000003</v>
      </c>
      <c r="E343" s="89"/>
    </row>
    <row r="344" spans="1:5">
      <c r="A344" s="90" t="s">
        <v>61</v>
      </c>
      <c r="B344" s="290">
        <v>4299</v>
      </c>
      <c r="C344" s="289">
        <v>3914</v>
      </c>
      <c r="D344" s="105">
        <f t="shared" si="5"/>
        <v>0.91</v>
      </c>
      <c r="E344" s="89"/>
    </row>
    <row r="345" spans="1:5">
      <c r="A345" s="91" t="s">
        <v>255</v>
      </c>
      <c r="B345" s="290">
        <v>59111</v>
      </c>
      <c r="C345" s="291">
        <v>69054</v>
      </c>
      <c r="D345" s="105">
        <f t="shared" si="5"/>
        <v>1.1679999999999999</v>
      </c>
      <c r="E345" s="89"/>
    </row>
    <row r="346" spans="1:5">
      <c r="A346" s="90" t="s">
        <v>256</v>
      </c>
      <c r="B346" s="290">
        <v>7571149</v>
      </c>
      <c r="C346" s="289">
        <v>6619446</v>
      </c>
      <c r="D346" s="105">
        <f t="shared" si="5"/>
        <v>0.874</v>
      </c>
      <c r="E346" s="89"/>
    </row>
    <row r="347" spans="1:5">
      <c r="A347" s="90" t="s">
        <v>257</v>
      </c>
      <c r="B347" s="290">
        <v>817664</v>
      </c>
      <c r="C347" s="289">
        <v>726489</v>
      </c>
      <c r="D347" s="105">
        <f t="shared" si="5"/>
        <v>0.88800000000000001</v>
      </c>
      <c r="E347" s="89"/>
    </row>
    <row r="348" spans="1:5">
      <c r="A348" s="90" t="s">
        <v>258</v>
      </c>
      <c r="B348" s="290">
        <v>2883425</v>
      </c>
      <c r="C348" s="289">
        <v>2316922</v>
      </c>
      <c r="D348" s="105">
        <f t="shared" si="5"/>
        <v>0.80400000000000005</v>
      </c>
      <c r="E348" s="89"/>
    </row>
    <row r="349" spans="1:5">
      <c r="A349" s="91" t="s">
        <v>259</v>
      </c>
      <c r="B349" s="290">
        <v>1810076</v>
      </c>
      <c r="C349" s="289">
        <v>1410111</v>
      </c>
      <c r="D349" s="105">
        <f t="shared" si="5"/>
        <v>0.77900000000000003</v>
      </c>
      <c r="E349" s="89"/>
    </row>
    <row r="350" spans="1:5">
      <c r="A350" s="91" t="s">
        <v>260</v>
      </c>
      <c r="B350" s="290">
        <v>731357</v>
      </c>
      <c r="C350" s="289">
        <v>640739</v>
      </c>
      <c r="D350" s="105">
        <f t="shared" si="5"/>
        <v>0.876</v>
      </c>
      <c r="E350" s="89"/>
    </row>
    <row r="351" spans="1:5">
      <c r="A351" s="91" t="s">
        <v>261</v>
      </c>
      <c r="B351" s="290">
        <v>747843</v>
      </c>
      <c r="C351" s="289">
        <v>479384</v>
      </c>
      <c r="D351" s="105">
        <f t="shared" si="5"/>
        <v>0.64100000000000001</v>
      </c>
      <c r="E351" s="89"/>
    </row>
    <row r="352" spans="1:5">
      <c r="A352" s="90" t="s">
        <v>262</v>
      </c>
      <c r="B352" s="290">
        <v>580784</v>
      </c>
      <c r="C352" s="289">
        <v>1045801</v>
      </c>
      <c r="D352" s="105">
        <f t="shared" si="5"/>
        <v>1.8009999999999999</v>
      </c>
      <c r="E352" s="89"/>
    </row>
    <row r="353" spans="1:5">
      <c r="A353" s="90" t="s">
        <v>263</v>
      </c>
      <c r="B353" s="290">
        <v>669777</v>
      </c>
      <c r="C353" s="289">
        <v>504932</v>
      </c>
      <c r="D353" s="105">
        <f t="shared" si="5"/>
        <v>0.754</v>
      </c>
      <c r="E353" s="89"/>
    </row>
    <row r="354" spans="1:5">
      <c r="A354" s="90" t="s">
        <v>264</v>
      </c>
      <c r="B354" s="290">
        <v>12177</v>
      </c>
      <c r="C354" s="289">
        <v>4852</v>
      </c>
      <c r="D354" s="105">
        <f t="shared" si="5"/>
        <v>0.39800000000000002</v>
      </c>
      <c r="E354" s="89"/>
    </row>
    <row r="355" spans="1:5">
      <c r="A355" s="90" t="s">
        <v>265</v>
      </c>
      <c r="B355" s="290">
        <v>286284</v>
      </c>
      <c r="C355" s="289">
        <v>229130</v>
      </c>
      <c r="D355" s="105">
        <f t="shared" si="5"/>
        <v>0.8</v>
      </c>
      <c r="E355" s="89"/>
    </row>
    <row r="356" spans="1:5">
      <c r="A356" s="90" t="s">
        <v>266</v>
      </c>
      <c r="B356" s="290">
        <v>57049</v>
      </c>
      <c r="C356" s="289">
        <v>35290</v>
      </c>
      <c r="D356" s="105">
        <f t="shared" si="5"/>
        <v>0.61899999999999999</v>
      </c>
      <c r="E356" s="89"/>
    </row>
    <row r="357" spans="1:5">
      <c r="A357" s="91" t="s">
        <v>267</v>
      </c>
      <c r="B357" s="290">
        <v>189126</v>
      </c>
      <c r="C357" s="289">
        <v>166186</v>
      </c>
      <c r="D357" s="105">
        <f t="shared" si="5"/>
        <v>0.879</v>
      </c>
      <c r="E357" s="89"/>
    </row>
    <row r="358" spans="1:5">
      <c r="A358" s="91" t="s">
        <v>268</v>
      </c>
      <c r="B358" s="290">
        <v>125141</v>
      </c>
      <c r="C358" s="289">
        <v>69474</v>
      </c>
      <c r="D358" s="105">
        <f t="shared" si="5"/>
        <v>0.55500000000000005</v>
      </c>
      <c r="E358" s="89"/>
    </row>
    <row r="359" spans="1:5">
      <c r="A359" s="89" t="s">
        <v>269</v>
      </c>
      <c r="B359" s="290">
        <v>14440</v>
      </c>
      <c r="C359" s="289">
        <v>11128</v>
      </c>
      <c r="D359" s="105">
        <f t="shared" si="5"/>
        <v>0.77100000000000002</v>
      </c>
      <c r="E359" s="89"/>
    </row>
    <row r="360" spans="1:5">
      <c r="A360" s="90" t="s">
        <v>270</v>
      </c>
      <c r="B360" s="290">
        <v>496</v>
      </c>
      <c r="C360" s="291">
        <v>437</v>
      </c>
      <c r="D360" s="105">
        <f t="shared" si="5"/>
        <v>0.88100000000000001</v>
      </c>
      <c r="E360" s="89"/>
    </row>
    <row r="361" spans="1:5">
      <c r="A361" s="90" t="s">
        <v>271</v>
      </c>
      <c r="B361" s="290">
        <v>2942</v>
      </c>
      <c r="C361" s="291">
        <v>872</v>
      </c>
      <c r="D361" s="105">
        <f t="shared" si="5"/>
        <v>0.29599999999999999</v>
      </c>
      <c r="E361" s="89"/>
    </row>
    <row r="362" spans="1:5">
      <c r="A362" s="90" t="s">
        <v>272</v>
      </c>
      <c r="B362" s="290">
        <v>4382</v>
      </c>
      <c r="C362" s="289">
        <v>4484</v>
      </c>
      <c r="D362" s="105">
        <f t="shared" si="5"/>
        <v>1.0229999999999999</v>
      </c>
      <c r="E362" s="89"/>
    </row>
    <row r="363" spans="1:5">
      <c r="A363" s="91" t="s">
        <v>273</v>
      </c>
      <c r="B363" s="290">
        <v>5159</v>
      </c>
      <c r="C363" s="289">
        <v>5105</v>
      </c>
      <c r="D363" s="105">
        <f t="shared" si="5"/>
        <v>0.99</v>
      </c>
      <c r="E363" s="89"/>
    </row>
    <row r="364" spans="1:5">
      <c r="A364" s="91" t="s">
        <v>274</v>
      </c>
      <c r="B364" s="290">
        <v>1461</v>
      </c>
      <c r="C364" s="291">
        <v>230</v>
      </c>
      <c r="D364" s="105">
        <f t="shared" si="5"/>
        <v>0.157</v>
      </c>
      <c r="E364" s="89"/>
    </row>
    <row r="365" spans="1:5">
      <c r="A365" s="91" t="s">
        <v>275</v>
      </c>
      <c r="B365" s="290">
        <v>9425</v>
      </c>
      <c r="C365" s="289">
        <v>10560</v>
      </c>
      <c r="D365" s="105">
        <f t="shared" si="5"/>
        <v>1.1200000000000001</v>
      </c>
      <c r="E365" s="89"/>
    </row>
    <row r="366" spans="1:5">
      <c r="A366" s="90" t="s">
        <v>276</v>
      </c>
      <c r="B366" s="290">
        <v>8521</v>
      </c>
      <c r="C366" s="289">
        <v>8602</v>
      </c>
      <c r="D366" s="105">
        <f t="shared" si="5"/>
        <v>1.01</v>
      </c>
      <c r="E366" s="89"/>
    </row>
    <row r="367" spans="1:5">
      <c r="A367" s="90" t="s">
        <v>277</v>
      </c>
      <c r="B367" s="290">
        <v>250</v>
      </c>
      <c r="C367" s="291">
        <v>0</v>
      </c>
      <c r="D367" s="105">
        <f t="shared" si="5"/>
        <v>0</v>
      </c>
      <c r="E367" s="89"/>
    </row>
    <row r="368" spans="1:5">
      <c r="A368" s="90" t="s">
        <v>278</v>
      </c>
      <c r="B368" s="290">
        <v>654</v>
      </c>
      <c r="C368" s="291">
        <v>1958</v>
      </c>
      <c r="D368" s="105">
        <f t="shared" si="5"/>
        <v>2.9940000000000002</v>
      </c>
      <c r="E368" s="89"/>
    </row>
    <row r="369" spans="1:5">
      <c r="A369" s="91" t="s">
        <v>279</v>
      </c>
      <c r="B369" s="290">
        <v>20</v>
      </c>
      <c r="C369" s="291">
        <v>0</v>
      </c>
      <c r="D369" s="105">
        <f t="shared" si="5"/>
        <v>0</v>
      </c>
      <c r="E369" s="89"/>
    </row>
    <row r="370" spans="1:5">
      <c r="A370" s="91" t="s">
        <v>280</v>
      </c>
      <c r="B370" s="290">
        <v>0</v>
      </c>
      <c r="C370" s="291">
        <v>0</v>
      </c>
      <c r="D370" s="105" t="str">
        <f t="shared" si="5"/>
        <v/>
      </c>
      <c r="E370" s="89"/>
    </row>
    <row r="371" spans="1:5">
      <c r="A371" s="91" t="s">
        <v>281</v>
      </c>
      <c r="B371" s="290">
        <v>0</v>
      </c>
      <c r="C371" s="291">
        <v>0</v>
      </c>
      <c r="D371" s="105" t="str">
        <f t="shared" si="5"/>
        <v/>
      </c>
      <c r="E371" s="89"/>
    </row>
    <row r="372" spans="1:5">
      <c r="A372" s="89" t="s">
        <v>282</v>
      </c>
      <c r="B372" s="290">
        <v>20</v>
      </c>
      <c r="C372" s="291">
        <v>0</v>
      </c>
      <c r="D372" s="105">
        <f t="shared" si="5"/>
        <v>0</v>
      </c>
      <c r="E372" s="89"/>
    </row>
    <row r="373" spans="1:5">
      <c r="A373" s="90" t="s">
        <v>283</v>
      </c>
      <c r="B373" s="290">
        <v>29202</v>
      </c>
      <c r="C373" s="289">
        <v>22221</v>
      </c>
      <c r="D373" s="105">
        <f t="shared" si="5"/>
        <v>0.76100000000000001</v>
      </c>
      <c r="E373" s="89"/>
    </row>
    <row r="374" spans="1:5">
      <c r="A374" s="90" t="s">
        <v>284</v>
      </c>
      <c r="B374" s="290">
        <v>19987</v>
      </c>
      <c r="C374" s="289">
        <v>19298</v>
      </c>
      <c r="D374" s="105">
        <f t="shared" si="5"/>
        <v>0.96599999999999997</v>
      </c>
      <c r="E374" s="89"/>
    </row>
    <row r="375" spans="1:5">
      <c r="A375" s="90" t="s">
        <v>285</v>
      </c>
      <c r="B375" s="290">
        <v>0</v>
      </c>
      <c r="C375" s="289">
        <v>0</v>
      </c>
      <c r="D375" s="105" t="str">
        <f t="shared" si="5"/>
        <v/>
      </c>
      <c r="E375" s="89"/>
    </row>
    <row r="376" spans="1:5">
      <c r="A376" s="91" t="s">
        <v>286</v>
      </c>
      <c r="B376" s="290">
        <v>9215</v>
      </c>
      <c r="C376" s="289">
        <v>2923</v>
      </c>
      <c r="D376" s="105">
        <f t="shared" si="5"/>
        <v>0.317</v>
      </c>
      <c r="E376" s="89"/>
    </row>
    <row r="377" spans="1:5">
      <c r="A377" s="91" t="s">
        <v>287</v>
      </c>
      <c r="B377" s="290">
        <v>91109</v>
      </c>
      <c r="C377" s="289">
        <v>79995</v>
      </c>
      <c r="D377" s="105">
        <f t="shared" si="5"/>
        <v>0.878</v>
      </c>
      <c r="E377" s="89"/>
    </row>
    <row r="378" spans="1:5">
      <c r="A378" s="91" t="s">
        <v>288</v>
      </c>
      <c r="B378" s="290">
        <v>10108</v>
      </c>
      <c r="C378" s="289">
        <v>25256</v>
      </c>
      <c r="D378" s="105">
        <f t="shared" si="5"/>
        <v>2.4990000000000001</v>
      </c>
      <c r="E378" s="89"/>
    </row>
    <row r="379" spans="1:5">
      <c r="A379" s="90" t="s">
        <v>289</v>
      </c>
      <c r="B379" s="290">
        <v>65682</v>
      </c>
      <c r="C379" s="289">
        <v>50798</v>
      </c>
      <c r="D379" s="105">
        <f t="shared" si="5"/>
        <v>0.77300000000000002</v>
      </c>
      <c r="E379" s="89"/>
    </row>
    <row r="380" spans="1:5">
      <c r="A380" s="90" t="s">
        <v>290</v>
      </c>
      <c r="B380" s="290">
        <v>9722</v>
      </c>
      <c r="C380" s="289">
        <v>2085</v>
      </c>
      <c r="D380" s="105">
        <f t="shared" si="5"/>
        <v>0.214</v>
      </c>
      <c r="E380" s="89"/>
    </row>
    <row r="381" spans="1:5">
      <c r="A381" s="90" t="s">
        <v>291</v>
      </c>
      <c r="B381" s="290">
        <v>23</v>
      </c>
      <c r="C381" s="291">
        <v>0</v>
      </c>
      <c r="D381" s="105">
        <f t="shared" si="5"/>
        <v>0</v>
      </c>
      <c r="E381" s="89"/>
    </row>
    <row r="382" spans="1:5">
      <c r="A382" s="90" t="s">
        <v>292</v>
      </c>
      <c r="B382" s="290">
        <v>5574</v>
      </c>
      <c r="C382" s="289">
        <v>1856</v>
      </c>
      <c r="D382" s="105">
        <f t="shared" si="5"/>
        <v>0.33300000000000002</v>
      </c>
      <c r="E382" s="89"/>
    </row>
    <row r="383" spans="1:5">
      <c r="A383" s="90" t="s">
        <v>293</v>
      </c>
      <c r="B383" s="290">
        <v>192966</v>
      </c>
      <c r="C383" s="291">
        <v>132393</v>
      </c>
      <c r="D383" s="105">
        <f t="shared" si="5"/>
        <v>0.68600000000000005</v>
      </c>
      <c r="E383" s="89"/>
    </row>
    <row r="384" spans="1:5">
      <c r="A384" s="91" t="s">
        <v>294</v>
      </c>
      <c r="B384" s="290">
        <v>12026</v>
      </c>
      <c r="C384" s="291">
        <v>6040</v>
      </c>
      <c r="D384" s="105">
        <f t="shared" si="5"/>
        <v>0.502</v>
      </c>
      <c r="E384" s="89"/>
    </row>
    <row r="385" spans="1:5">
      <c r="A385" s="91" t="s">
        <v>295</v>
      </c>
      <c r="B385" s="290">
        <v>10997</v>
      </c>
      <c r="C385" s="291">
        <v>4396</v>
      </c>
      <c r="D385" s="105">
        <f t="shared" si="5"/>
        <v>0.4</v>
      </c>
      <c r="E385" s="89"/>
    </row>
    <row r="386" spans="1:5">
      <c r="A386" s="91" t="s">
        <v>296</v>
      </c>
      <c r="B386" s="290">
        <v>12469</v>
      </c>
      <c r="C386" s="291">
        <v>7281</v>
      </c>
      <c r="D386" s="105">
        <f t="shared" si="5"/>
        <v>0.58399999999999996</v>
      </c>
      <c r="E386" s="89"/>
    </row>
    <row r="387" spans="1:5">
      <c r="A387" s="89" t="s">
        <v>297</v>
      </c>
      <c r="B387" s="290">
        <v>13746</v>
      </c>
      <c r="C387" s="291">
        <v>7927</v>
      </c>
      <c r="D387" s="105">
        <f t="shared" si="5"/>
        <v>0.57699999999999996</v>
      </c>
      <c r="E387" s="89"/>
    </row>
    <row r="388" spans="1:5">
      <c r="A388" s="90" t="s">
        <v>298</v>
      </c>
      <c r="B388" s="290">
        <v>13626</v>
      </c>
      <c r="C388" s="291">
        <v>3256</v>
      </c>
      <c r="D388" s="105">
        <f t="shared" si="5"/>
        <v>0.23899999999999999</v>
      </c>
      <c r="E388" s="89"/>
    </row>
    <row r="389" spans="1:5">
      <c r="A389" s="90" t="s">
        <v>299</v>
      </c>
      <c r="B389" s="290">
        <v>130102</v>
      </c>
      <c r="C389" s="291">
        <v>103493</v>
      </c>
      <c r="D389" s="105">
        <f t="shared" ref="D389:D452" si="6">IF(B389=0,"",ROUND(C389/B389,3))</f>
        <v>0.79500000000000004</v>
      </c>
      <c r="E389" s="89"/>
    </row>
    <row r="390" spans="1:5">
      <c r="A390" s="90" t="s">
        <v>300</v>
      </c>
      <c r="B390" s="290">
        <v>315254</v>
      </c>
      <c r="C390" s="289">
        <v>162649</v>
      </c>
      <c r="D390" s="105">
        <f t="shared" si="6"/>
        <v>0.51600000000000001</v>
      </c>
      <c r="E390" s="89"/>
    </row>
    <row r="391" spans="1:5">
      <c r="A391" s="89" t="s">
        <v>301</v>
      </c>
      <c r="B391" s="290">
        <v>412515</v>
      </c>
      <c r="C391" s="289">
        <v>288318</v>
      </c>
      <c r="D391" s="105">
        <f t="shared" si="6"/>
        <v>0.69899999999999995</v>
      </c>
      <c r="E391" s="89"/>
    </row>
    <row r="392" spans="1:5">
      <c r="A392" s="91" t="s">
        <v>302</v>
      </c>
      <c r="B392" s="290">
        <v>25287</v>
      </c>
      <c r="C392" s="289">
        <v>31140</v>
      </c>
      <c r="D392" s="105">
        <f t="shared" si="6"/>
        <v>1.2310000000000001</v>
      </c>
      <c r="E392" s="89"/>
    </row>
    <row r="393" spans="1:5">
      <c r="A393" s="90" t="s">
        <v>59</v>
      </c>
      <c r="B393" s="290">
        <v>18973</v>
      </c>
      <c r="C393" s="289">
        <v>17458</v>
      </c>
      <c r="D393" s="105">
        <f t="shared" si="6"/>
        <v>0.92</v>
      </c>
      <c r="E393" s="89"/>
    </row>
    <row r="394" spans="1:5">
      <c r="A394" s="90" t="s">
        <v>60</v>
      </c>
      <c r="B394" s="290">
        <v>1054</v>
      </c>
      <c r="C394" s="289">
        <v>1009</v>
      </c>
      <c r="D394" s="105">
        <f t="shared" si="6"/>
        <v>0.95699999999999996</v>
      </c>
      <c r="E394" s="89"/>
    </row>
    <row r="395" spans="1:5">
      <c r="A395" s="90" t="s">
        <v>61</v>
      </c>
      <c r="B395" s="290">
        <v>992</v>
      </c>
      <c r="C395" s="289">
        <v>822</v>
      </c>
      <c r="D395" s="105">
        <f t="shared" si="6"/>
        <v>0.82899999999999996</v>
      </c>
      <c r="E395" s="89"/>
    </row>
    <row r="396" spans="1:5">
      <c r="A396" s="91" t="s">
        <v>303</v>
      </c>
      <c r="B396" s="290">
        <v>4268</v>
      </c>
      <c r="C396" s="289">
        <v>11851</v>
      </c>
      <c r="D396" s="105">
        <f t="shared" si="6"/>
        <v>2.7770000000000001</v>
      </c>
      <c r="E396" s="89"/>
    </row>
    <row r="397" spans="1:5">
      <c r="A397" s="90" t="s">
        <v>304</v>
      </c>
      <c r="B397" s="290">
        <v>16292</v>
      </c>
      <c r="C397" s="289">
        <v>13355</v>
      </c>
      <c r="D397" s="105">
        <f t="shared" si="6"/>
        <v>0.82</v>
      </c>
      <c r="E397" s="89"/>
    </row>
    <row r="398" spans="1:5">
      <c r="A398" s="90" t="s">
        <v>305</v>
      </c>
      <c r="B398" s="290">
        <v>4</v>
      </c>
      <c r="C398" s="291">
        <v>0</v>
      </c>
      <c r="D398" s="105">
        <f t="shared" si="6"/>
        <v>0</v>
      </c>
      <c r="E398" s="89"/>
    </row>
    <row r="399" spans="1:5">
      <c r="A399" s="89" t="s">
        <v>306</v>
      </c>
      <c r="B399" s="290">
        <v>16122</v>
      </c>
      <c r="C399" s="289">
        <v>12843</v>
      </c>
      <c r="D399" s="105">
        <f t="shared" si="6"/>
        <v>0.79700000000000004</v>
      </c>
      <c r="E399" s="89"/>
    </row>
    <row r="400" spans="1:5">
      <c r="A400" s="90" t="s">
        <v>307</v>
      </c>
      <c r="B400" s="290">
        <v>145</v>
      </c>
      <c r="C400" s="291">
        <v>10</v>
      </c>
      <c r="D400" s="105">
        <f t="shared" si="6"/>
        <v>6.9000000000000006E-2</v>
      </c>
      <c r="E400" s="89"/>
    </row>
    <row r="401" spans="1:5">
      <c r="A401" s="90" t="s">
        <v>308</v>
      </c>
      <c r="B401" s="290">
        <v>0</v>
      </c>
      <c r="C401" s="291">
        <v>0</v>
      </c>
      <c r="D401" s="105" t="str">
        <f t="shared" si="6"/>
        <v/>
      </c>
      <c r="E401" s="89"/>
    </row>
    <row r="402" spans="1:5">
      <c r="A402" s="90" t="s">
        <v>309</v>
      </c>
      <c r="B402" s="290">
        <v>0</v>
      </c>
      <c r="C402" s="291">
        <v>0</v>
      </c>
      <c r="D402" s="105" t="str">
        <f t="shared" si="6"/>
        <v/>
      </c>
      <c r="E402" s="89"/>
    </row>
    <row r="403" spans="1:5">
      <c r="A403" s="91" t="s">
        <v>310</v>
      </c>
      <c r="B403" s="290">
        <v>0</v>
      </c>
      <c r="C403" s="291">
        <v>0</v>
      </c>
      <c r="D403" s="105" t="str">
        <f t="shared" si="6"/>
        <v/>
      </c>
      <c r="E403" s="89"/>
    </row>
    <row r="404" spans="1:5">
      <c r="A404" s="91" t="s">
        <v>311</v>
      </c>
      <c r="B404" s="290"/>
      <c r="C404" s="291">
        <v>0</v>
      </c>
      <c r="D404" s="105" t="str">
        <f t="shared" si="6"/>
        <v/>
      </c>
      <c r="E404" s="89"/>
    </row>
    <row r="405" spans="1:5">
      <c r="A405" s="91" t="s">
        <v>312</v>
      </c>
      <c r="B405" s="290">
        <v>21</v>
      </c>
      <c r="C405" s="291">
        <v>502</v>
      </c>
      <c r="D405" s="105">
        <f t="shared" si="6"/>
        <v>23.905000000000001</v>
      </c>
      <c r="E405" s="89"/>
    </row>
    <row r="406" spans="1:5">
      <c r="A406" s="91" t="s">
        <v>313</v>
      </c>
      <c r="B406" s="290">
        <v>50409</v>
      </c>
      <c r="C406" s="289">
        <v>45123</v>
      </c>
      <c r="D406" s="105">
        <f t="shared" si="6"/>
        <v>0.89500000000000002</v>
      </c>
      <c r="E406" s="89"/>
    </row>
    <row r="407" spans="1:5">
      <c r="A407" s="90" t="s">
        <v>305</v>
      </c>
      <c r="B407" s="290">
        <v>25842</v>
      </c>
      <c r="C407" s="289">
        <v>23207</v>
      </c>
      <c r="D407" s="105">
        <f t="shared" si="6"/>
        <v>0.89800000000000002</v>
      </c>
      <c r="E407" s="89"/>
    </row>
    <row r="408" spans="1:5">
      <c r="A408" s="90" t="s">
        <v>314</v>
      </c>
      <c r="B408" s="290">
        <v>23852</v>
      </c>
      <c r="C408" s="289">
        <v>19328</v>
      </c>
      <c r="D408" s="105">
        <f t="shared" si="6"/>
        <v>0.81</v>
      </c>
      <c r="E408" s="89"/>
    </row>
    <row r="409" spans="1:5">
      <c r="A409" s="90" t="s">
        <v>315</v>
      </c>
      <c r="B409" s="298">
        <v>0</v>
      </c>
      <c r="C409" s="291">
        <v>0</v>
      </c>
      <c r="D409" s="105" t="str">
        <f t="shared" si="6"/>
        <v/>
      </c>
      <c r="E409" s="89"/>
    </row>
    <row r="410" spans="1:5">
      <c r="A410" s="91" t="s">
        <v>316</v>
      </c>
      <c r="B410" s="290">
        <v>0</v>
      </c>
      <c r="C410" s="291">
        <v>0</v>
      </c>
      <c r="D410" s="105" t="str">
        <f t="shared" si="6"/>
        <v/>
      </c>
      <c r="E410" s="89"/>
    </row>
    <row r="411" spans="1:5">
      <c r="A411" s="91" t="s">
        <v>317</v>
      </c>
      <c r="B411" s="290">
        <v>715</v>
      </c>
      <c r="C411" s="291">
        <v>2588</v>
      </c>
      <c r="D411" s="105">
        <f t="shared" si="6"/>
        <v>3.62</v>
      </c>
      <c r="E411" s="89"/>
    </row>
    <row r="412" spans="1:5">
      <c r="A412" s="91" t="s">
        <v>318</v>
      </c>
      <c r="B412" s="290">
        <v>118725</v>
      </c>
      <c r="C412" s="289">
        <v>63929</v>
      </c>
      <c r="D412" s="105">
        <f t="shared" si="6"/>
        <v>0.53800000000000003</v>
      </c>
      <c r="E412" s="89"/>
    </row>
    <row r="413" spans="1:5">
      <c r="A413" s="89" t="s">
        <v>305</v>
      </c>
      <c r="B413" s="290">
        <v>3296</v>
      </c>
      <c r="C413" s="289">
        <v>2983</v>
      </c>
      <c r="D413" s="105">
        <f t="shared" si="6"/>
        <v>0.90500000000000003</v>
      </c>
      <c r="E413" s="89"/>
    </row>
    <row r="414" spans="1:5">
      <c r="A414" s="90" t="s">
        <v>319</v>
      </c>
      <c r="B414" s="290">
        <v>42653</v>
      </c>
      <c r="C414" s="289">
        <v>15628</v>
      </c>
      <c r="D414" s="105">
        <f t="shared" si="6"/>
        <v>0.36599999999999999</v>
      </c>
      <c r="E414" s="89"/>
    </row>
    <row r="415" spans="1:5">
      <c r="A415" s="90" t="s">
        <v>320</v>
      </c>
      <c r="B415" s="290"/>
      <c r="C415" s="291">
        <v>130</v>
      </c>
      <c r="D415" s="105" t="str">
        <f t="shared" si="6"/>
        <v/>
      </c>
      <c r="E415" s="89"/>
    </row>
    <row r="416" spans="1:5">
      <c r="A416" s="91" t="s">
        <v>321</v>
      </c>
      <c r="B416" s="290">
        <v>72776</v>
      </c>
      <c r="C416" s="289">
        <v>45188</v>
      </c>
      <c r="D416" s="105">
        <f t="shared" si="6"/>
        <v>0.621</v>
      </c>
      <c r="E416" s="89"/>
    </row>
    <row r="417" spans="1:5">
      <c r="A417" s="91" t="s">
        <v>322</v>
      </c>
      <c r="B417" s="290">
        <v>35347</v>
      </c>
      <c r="C417" s="289">
        <v>32752</v>
      </c>
      <c r="D417" s="105">
        <f t="shared" si="6"/>
        <v>0.92700000000000005</v>
      </c>
      <c r="E417" s="89"/>
    </row>
    <row r="418" spans="1:5">
      <c r="A418" s="91" t="s">
        <v>305</v>
      </c>
      <c r="B418" s="290">
        <v>3552</v>
      </c>
      <c r="C418" s="289">
        <v>2929</v>
      </c>
      <c r="D418" s="105">
        <f t="shared" si="6"/>
        <v>0.82499999999999996</v>
      </c>
      <c r="E418" s="89"/>
    </row>
    <row r="419" spans="1:5">
      <c r="A419" s="90" t="s">
        <v>323</v>
      </c>
      <c r="B419" s="290">
        <v>18291</v>
      </c>
      <c r="C419" s="289">
        <v>22288</v>
      </c>
      <c r="D419" s="105">
        <f t="shared" si="6"/>
        <v>1.2190000000000001</v>
      </c>
      <c r="E419" s="89"/>
    </row>
    <row r="420" spans="1:5">
      <c r="A420" s="90" t="s">
        <v>324</v>
      </c>
      <c r="B420" s="290">
        <v>3566</v>
      </c>
      <c r="C420" s="289">
        <v>4148</v>
      </c>
      <c r="D420" s="105">
        <f t="shared" si="6"/>
        <v>1.163</v>
      </c>
      <c r="E420" s="89"/>
    </row>
    <row r="421" spans="1:5">
      <c r="A421" s="90" t="s">
        <v>325</v>
      </c>
      <c r="B421" s="290">
        <v>9938</v>
      </c>
      <c r="C421" s="289">
        <v>3387</v>
      </c>
      <c r="D421" s="105">
        <f t="shared" si="6"/>
        <v>0.34100000000000003</v>
      </c>
      <c r="E421" s="89"/>
    </row>
    <row r="422" spans="1:5">
      <c r="A422" s="91" t="s">
        <v>326</v>
      </c>
      <c r="B422" s="290">
        <v>12923</v>
      </c>
      <c r="C422" s="289">
        <v>6517</v>
      </c>
      <c r="D422" s="105">
        <f t="shared" si="6"/>
        <v>0.504</v>
      </c>
      <c r="E422" s="89"/>
    </row>
    <row r="423" spans="1:5">
      <c r="A423" s="91" t="s">
        <v>327</v>
      </c>
      <c r="B423" s="290">
        <v>4883</v>
      </c>
      <c r="C423" s="289">
        <v>5796</v>
      </c>
      <c r="D423" s="105">
        <f t="shared" si="6"/>
        <v>1.1870000000000001</v>
      </c>
      <c r="E423" s="89"/>
    </row>
    <row r="424" spans="1:5">
      <c r="A424" s="91" t="s">
        <v>328</v>
      </c>
      <c r="B424" s="290">
        <v>1308</v>
      </c>
      <c r="C424" s="289">
        <v>688</v>
      </c>
      <c r="D424" s="105">
        <f t="shared" si="6"/>
        <v>0.52600000000000002</v>
      </c>
      <c r="E424" s="89"/>
    </row>
    <row r="425" spans="1:5">
      <c r="A425" s="91" t="s">
        <v>329</v>
      </c>
      <c r="B425" s="290">
        <v>0</v>
      </c>
      <c r="C425" s="291">
        <v>0</v>
      </c>
      <c r="D425" s="105" t="str">
        <f t="shared" si="6"/>
        <v/>
      </c>
      <c r="E425" s="89"/>
    </row>
    <row r="426" spans="1:5">
      <c r="A426" s="91" t="s">
        <v>330</v>
      </c>
      <c r="B426" s="290">
        <v>6732</v>
      </c>
      <c r="C426" s="291">
        <v>33</v>
      </c>
      <c r="D426" s="105">
        <f t="shared" si="6"/>
        <v>5.0000000000000001E-3</v>
      </c>
      <c r="E426" s="89"/>
    </row>
    <row r="427" spans="1:5">
      <c r="A427" s="90" t="s">
        <v>331</v>
      </c>
      <c r="B427" s="290">
        <v>38402</v>
      </c>
      <c r="C427" s="289">
        <v>18923</v>
      </c>
      <c r="D427" s="105">
        <f t="shared" si="6"/>
        <v>0.49299999999999999</v>
      </c>
      <c r="E427" s="89"/>
    </row>
    <row r="428" spans="1:5">
      <c r="A428" s="90" t="s">
        <v>305</v>
      </c>
      <c r="B428" s="290">
        <v>4918</v>
      </c>
      <c r="C428" s="289">
        <v>4856</v>
      </c>
      <c r="D428" s="105">
        <f t="shared" si="6"/>
        <v>0.98699999999999999</v>
      </c>
      <c r="E428" s="89"/>
    </row>
    <row r="429" spans="1:5">
      <c r="A429" s="91" t="s">
        <v>332</v>
      </c>
      <c r="B429" s="290">
        <v>5975</v>
      </c>
      <c r="C429" s="289">
        <v>3682</v>
      </c>
      <c r="D429" s="105">
        <f t="shared" si="6"/>
        <v>0.61599999999999999</v>
      </c>
      <c r="E429" s="89"/>
    </row>
    <row r="430" spans="1:5">
      <c r="A430" s="91" t="s">
        <v>333</v>
      </c>
      <c r="B430" s="290">
        <v>441</v>
      </c>
      <c r="C430" s="289">
        <v>420</v>
      </c>
      <c r="D430" s="105">
        <f t="shared" si="6"/>
        <v>0.95199999999999996</v>
      </c>
      <c r="E430" s="89"/>
    </row>
    <row r="431" spans="1:5">
      <c r="A431" s="91" t="s">
        <v>334</v>
      </c>
      <c r="B431" s="290">
        <v>640</v>
      </c>
      <c r="C431" s="289">
        <v>370</v>
      </c>
      <c r="D431" s="105">
        <f t="shared" si="6"/>
        <v>0.57799999999999996</v>
      </c>
      <c r="E431" s="89"/>
    </row>
    <row r="432" spans="1:5">
      <c r="A432" s="90" t="s">
        <v>335</v>
      </c>
      <c r="B432" s="290">
        <v>11767</v>
      </c>
      <c r="C432" s="289">
        <v>5530</v>
      </c>
      <c r="D432" s="105">
        <f t="shared" si="6"/>
        <v>0.47</v>
      </c>
      <c r="E432" s="89"/>
    </row>
    <row r="433" spans="1:5">
      <c r="A433" s="90" t="s">
        <v>336</v>
      </c>
      <c r="B433" s="290">
        <v>14661</v>
      </c>
      <c r="C433" s="289">
        <v>4065</v>
      </c>
      <c r="D433" s="105">
        <f t="shared" si="6"/>
        <v>0.27700000000000002</v>
      </c>
      <c r="E433" s="89"/>
    </row>
    <row r="434" spans="1:5">
      <c r="A434" s="90" t="s">
        <v>337</v>
      </c>
      <c r="B434" s="290">
        <v>6392</v>
      </c>
      <c r="C434" s="289">
        <v>3069</v>
      </c>
      <c r="D434" s="105">
        <f t="shared" si="6"/>
        <v>0.48</v>
      </c>
      <c r="E434" s="89"/>
    </row>
    <row r="435" spans="1:5">
      <c r="A435" s="91" t="s">
        <v>338</v>
      </c>
      <c r="B435" s="290">
        <v>6378</v>
      </c>
      <c r="C435" s="289">
        <v>3049</v>
      </c>
      <c r="D435" s="105">
        <f t="shared" si="6"/>
        <v>0.47799999999999998</v>
      </c>
      <c r="E435" s="89"/>
    </row>
    <row r="436" spans="1:5">
      <c r="A436" s="91" t="s">
        <v>339</v>
      </c>
      <c r="B436" s="290">
        <v>0</v>
      </c>
      <c r="C436" s="291">
        <v>0</v>
      </c>
      <c r="D436" s="105" t="str">
        <f t="shared" si="6"/>
        <v/>
      </c>
      <c r="E436" s="89"/>
    </row>
    <row r="437" spans="1:5">
      <c r="A437" s="91" t="s">
        <v>340</v>
      </c>
      <c r="B437" s="290">
        <v>14</v>
      </c>
      <c r="C437" s="291">
        <v>20</v>
      </c>
      <c r="D437" s="105">
        <f t="shared" si="6"/>
        <v>1.429</v>
      </c>
      <c r="E437" s="89"/>
    </row>
    <row r="438" spans="1:5">
      <c r="A438" s="89" t="s">
        <v>341</v>
      </c>
      <c r="B438" s="290">
        <v>25506</v>
      </c>
      <c r="C438" s="289">
        <v>12520</v>
      </c>
      <c r="D438" s="105">
        <f t="shared" si="6"/>
        <v>0.49099999999999999</v>
      </c>
      <c r="E438" s="89"/>
    </row>
    <row r="439" spans="1:5">
      <c r="A439" s="91" t="s">
        <v>342</v>
      </c>
      <c r="B439" s="290">
        <v>11810</v>
      </c>
      <c r="C439" s="289">
        <v>7520</v>
      </c>
      <c r="D439" s="105">
        <f t="shared" si="6"/>
        <v>0.63700000000000001</v>
      </c>
      <c r="E439" s="89"/>
    </row>
    <row r="440" spans="1:5">
      <c r="A440" s="91" t="s">
        <v>343</v>
      </c>
      <c r="B440" s="290">
        <v>10885</v>
      </c>
      <c r="C440" s="289">
        <v>5000</v>
      </c>
      <c r="D440" s="105">
        <f t="shared" si="6"/>
        <v>0.45900000000000002</v>
      </c>
      <c r="E440" s="89"/>
    </row>
    <row r="441" spans="1:5">
      <c r="A441" s="91" t="s">
        <v>344</v>
      </c>
      <c r="B441" s="290">
        <v>2811</v>
      </c>
      <c r="C441" s="291">
        <v>0</v>
      </c>
      <c r="D441" s="105">
        <f t="shared" si="6"/>
        <v>0</v>
      </c>
      <c r="E441" s="89"/>
    </row>
    <row r="442" spans="1:5">
      <c r="A442" s="90" t="s">
        <v>345</v>
      </c>
      <c r="B442" s="290">
        <v>83232</v>
      </c>
      <c r="C442" s="289">
        <v>60990</v>
      </c>
      <c r="D442" s="105">
        <f t="shared" si="6"/>
        <v>0.73299999999999998</v>
      </c>
      <c r="E442" s="89"/>
    </row>
    <row r="443" spans="1:5">
      <c r="A443" s="90" t="s">
        <v>346</v>
      </c>
      <c r="B443" s="290">
        <v>760</v>
      </c>
      <c r="C443" s="289">
        <v>695</v>
      </c>
      <c r="D443" s="105">
        <f t="shared" si="6"/>
        <v>0.91400000000000003</v>
      </c>
      <c r="E443" s="89"/>
    </row>
    <row r="444" spans="1:5">
      <c r="A444" s="91" t="s">
        <v>347</v>
      </c>
      <c r="B444" s="290">
        <v>0</v>
      </c>
      <c r="C444" s="289">
        <v>0</v>
      </c>
      <c r="D444" s="105" t="str">
        <f t="shared" si="6"/>
        <v/>
      </c>
      <c r="E444" s="89"/>
    </row>
    <row r="445" spans="1:5">
      <c r="A445" s="91" t="s">
        <v>348</v>
      </c>
      <c r="B445" s="290">
        <v>0</v>
      </c>
      <c r="C445" s="291">
        <v>0</v>
      </c>
      <c r="D445" s="105" t="str">
        <f t="shared" si="6"/>
        <v/>
      </c>
      <c r="E445" s="89"/>
    </row>
    <row r="446" spans="1:5">
      <c r="A446" s="91" t="s">
        <v>349</v>
      </c>
      <c r="B446" s="290">
        <v>82472</v>
      </c>
      <c r="C446" s="289">
        <v>60295</v>
      </c>
      <c r="D446" s="105">
        <f t="shared" si="6"/>
        <v>0.73099999999999998</v>
      </c>
      <c r="E446" s="89"/>
    </row>
    <row r="447" spans="1:5">
      <c r="A447" s="89" t="s">
        <v>350</v>
      </c>
      <c r="B447" s="290">
        <v>825018</v>
      </c>
      <c r="C447" s="289">
        <v>692324</v>
      </c>
      <c r="D447" s="105">
        <f t="shared" si="6"/>
        <v>0.83899999999999997</v>
      </c>
      <c r="E447" s="89"/>
    </row>
    <row r="448" spans="1:5">
      <c r="A448" s="89" t="s">
        <v>351</v>
      </c>
      <c r="B448" s="290">
        <v>391381</v>
      </c>
      <c r="C448" s="289">
        <v>298526</v>
      </c>
      <c r="D448" s="105">
        <f t="shared" si="6"/>
        <v>0.76300000000000001</v>
      </c>
      <c r="E448" s="89"/>
    </row>
    <row r="449" spans="1:5">
      <c r="A449" s="89" t="s">
        <v>59</v>
      </c>
      <c r="B449" s="290">
        <v>54184</v>
      </c>
      <c r="C449" s="289">
        <v>54629</v>
      </c>
      <c r="D449" s="105">
        <f t="shared" si="6"/>
        <v>1.008</v>
      </c>
      <c r="E449" s="89"/>
    </row>
    <row r="450" spans="1:5">
      <c r="A450" s="89" t="s">
        <v>60</v>
      </c>
      <c r="B450" s="290">
        <v>16644</v>
      </c>
      <c r="C450" s="289">
        <v>6043</v>
      </c>
      <c r="D450" s="105">
        <f t="shared" si="6"/>
        <v>0.36299999999999999</v>
      </c>
      <c r="E450" s="89"/>
    </row>
    <row r="451" spans="1:5">
      <c r="A451" s="89" t="s">
        <v>61</v>
      </c>
      <c r="B451" s="290">
        <v>3323</v>
      </c>
      <c r="C451" s="289">
        <v>2243</v>
      </c>
      <c r="D451" s="105">
        <f t="shared" si="6"/>
        <v>0.67500000000000004</v>
      </c>
      <c r="E451" s="89"/>
    </row>
    <row r="452" spans="1:5">
      <c r="A452" s="89" t="s">
        <v>352</v>
      </c>
      <c r="B452" s="290">
        <v>12006</v>
      </c>
      <c r="C452" s="289">
        <v>19686</v>
      </c>
      <c r="D452" s="105">
        <f t="shared" si="6"/>
        <v>1.64</v>
      </c>
      <c r="E452" s="89"/>
    </row>
    <row r="453" spans="1:5">
      <c r="A453" s="89" t="s">
        <v>353</v>
      </c>
      <c r="B453" s="290">
        <v>3142</v>
      </c>
      <c r="C453" s="289">
        <v>1761</v>
      </c>
      <c r="D453" s="105">
        <f t="shared" ref="D453:D516" si="7">IF(B453=0,"",ROUND(C453/B453,3))</f>
        <v>0.56000000000000005</v>
      </c>
      <c r="E453" s="89"/>
    </row>
    <row r="454" spans="1:5">
      <c r="A454" s="89" t="s">
        <v>354</v>
      </c>
      <c r="B454" s="290">
        <v>14349</v>
      </c>
      <c r="C454" s="289">
        <v>14685</v>
      </c>
      <c r="D454" s="105">
        <f t="shared" si="7"/>
        <v>1.0229999999999999</v>
      </c>
      <c r="E454" s="89"/>
    </row>
    <row r="455" spans="1:5">
      <c r="A455" s="89" t="s">
        <v>355</v>
      </c>
      <c r="B455" s="290">
        <v>52182</v>
      </c>
      <c r="C455" s="289">
        <v>47222</v>
      </c>
      <c r="D455" s="105">
        <f t="shared" si="7"/>
        <v>0.90500000000000003</v>
      </c>
      <c r="E455" s="89"/>
    </row>
    <row r="456" spans="1:5">
      <c r="A456" s="89" t="s">
        <v>356</v>
      </c>
      <c r="B456" s="290">
        <v>1676</v>
      </c>
      <c r="C456" s="289">
        <v>431</v>
      </c>
      <c r="D456" s="105">
        <f t="shared" si="7"/>
        <v>0.25700000000000001</v>
      </c>
      <c r="E456" s="89"/>
    </row>
    <row r="457" spans="1:5">
      <c r="A457" s="89" t="s">
        <v>357</v>
      </c>
      <c r="B457" s="290">
        <v>37030</v>
      </c>
      <c r="C457" s="289">
        <v>34596</v>
      </c>
      <c r="D457" s="105">
        <f t="shared" si="7"/>
        <v>0.93400000000000005</v>
      </c>
      <c r="E457" s="89"/>
    </row>
    <row r="458" spans="1:5">
      <c r="A458" s="89" t="s">
        <v>358</v>
      </c>
      <c r="B458" s="290">
        <v>10</v>
      </c>
      <c r="C458" s="289">
        <v>621</v>
      </c>
      <c r="D458" s="105">
        <f t="shared" si="7"/>
        <v>62.1</v>
      </c>
      <c r="E458" s="89"/>
    </row>
    <row r="459" spans="1:5">
      <c r="A459" s="89" t="s">
        <v>359</v>
      </c>
      <c r="B459" s="290">
        <v>5813</v>
      </c>
      <c r="C459" s="289">
        <v>6057</v>
      </c>
      <c r="D459" s="105">
        <f t="shared" si="7"/>
        <v>1.042</v>
      </c>
      <c r="E459" s="89"/>
    </row>
    <row r="460" spans="1:5">
      <c r="A460" s="89" t="s">
        <v>360</v>
      </c>
      <c r="B460" s="290">
        <v>1480</v>
      </c>
      <c r="C460" s="289">
        <v>1706</v>
      </c>
      <c r="D460" s="105">
        <f t="shared" si="7"/>
        <v>1.153</v>
      </c>
      <c r="E460" s="89"/>
    </row>
    <row r="461" spans="1:5">
      <c r="A461" s="89" t="s">
        <v>361</v>
      </c>
      <c r="B461" s="290">
        <v>10554</v>
      </c>
      <c r="C461" s="289">
        <v>2924</v>
      </c>
      <c r="D461" s="105">
        <f t="shared" si="7"/>
        <v>0.27700000000000002</v>
      </c>
      <c r="E461" s="89"/>
    </row>
    <row r="462" spans="1:5">
      <c r="A462" s="89" t="s">
        <v>362</v>
      </c>
      <c r="B462" s="290">
        <v>3928</v>
      </c>
      <c r="C462" s="289">
        <v>2508</v>
      </c>
      <c r="D462" s="105">
        <f t="shared" si="7"/>
        <v>0.63800000000000001</v>
      </c>
      <c r="E462" s="89"/>
    </row>
    <row r="463" spans="1:5">
      <c r="A463" s="89" t="s">
        <v>363</v>
      </c>
      <c r="B463" s="290">
        <v>175060</v>
      </c>
      <c r="C463" s="289">
        <v>103414</v>
      </c>
      <c r="D463" s="105">
        <f t="shared" si="7"/>
        <v>0.59099999999999997</v>
      </c>
      <c r="E463" s="89"/>
    </row>
    <row r="464" spans="1:5">
      <c r="A464" s="89" t="s">
        <v>364</v>
      </c>
      <c r="B464" s="290">
        <v>38399</v>
      </c>
      <c r="C464" s="289">
        <v>51057</v>
      </c>
      <c r="D464" s="105">
        <f t="shared" si="7"/>
        <v>1.33</v>
      </c>
      <c r="E464" s="89"/>
    </row>
    <row r="465" spans="1:5">
      <c r="A465" s="89" t="s">
        <v>59</v>
      </c>
      <c r="B465" s="290">
        <v>1932</v>
      </c>
      <c r="C465" s="291">
        <v>2389</v>
      </c>
      <c r="D465" s="105">
        <f t="shared" si="7"/>
        <v>1.2370000000000001</v>
      </c>
      <c r="E465" s="89"/>
    </row>
    <row r="466" spans="1:5">
      <c r="A466" s="89" t="s">
        <v>60</v>
      </c>
      <c r="B466" s="290">
        <v>115</v>
      </c>
      <c r="C466" s="291">
        <v>95</v>
      </c>
      <c r="D466" s="105">
        <f t="shared" si="7"/>
        <v>0.82599999999999996</v>
      </c>
      <c r="E466" s="89"/>
    </row>
    <row r="467" spans="1:5">
      <c r="A467" s="89" t="s">
        <v>61</v>
      </c>
      <c r="B467" s="290">
        <v>0</v>
      </c>
      <c r="C467" s="291">
        <v>43</v>
      </c>
      <c r="D467" s="105" t="str">
        <f t="shared" si="7"/>
        <v/>
      </c>
      <c r="E467" s="89"/>
    </row>
    <row r="468" spans="1:5">
      <c r="A468" s="89" t="s">
        <v>365</v>
      </c>
      <c r="B468" s="290">
        <v>14454</v>
      </c>
      <c r="C468" s="289">
        <v>24656</v>
      </c>
      <c r="D468" s="105">
        <f t="shared" si="7"/>
        <v>1.706</v>
      </c>
      <c r="E468" s="89"/>
    </row>
    <row r="469" spans="1:5">
      <c r="A469" s="89" t="s">
        <v>366</v>
      </c>
      <c r="B469" s="290">
        <v>17628</v>
      </c>
      <c r="C469" s="289">
        <v>21250</v>
      </c>
      <c r="D469" s="105">
        <f t="shared" si="7"/>
        <v>1.2050000000000001</v>
      </c>
      <c r="E469" s="89"/>
    </row>
    <row r="470" spans="1:5">
      <c r="A470" s="89" t="s">
        <v>367</v>
      </c>
      <c r="B470" s="290">
        <v>0</v>
      </c>
      <c r="C470" s="291">
        <v>0</v>
      </c>
      <c r="D470" s="105" t="str">
        <f t="shared" si="7"/>
        <v/>
      </c>
      <c r="E470" s="89"/>
    </row>
    <row r="471" spans="1:5">
      <c r="A471" s="89" t="s">
        <v>368</v>
      </c>
      <c r="B471" s="290">
        <v>4270</v>
      </c>
      <c r="C471" s="289">
        <v>2624</v>
      </c>
      <c r="D471" s="105">
        <f t="shared" si="7"/>
        <v>0.61499999999999999</v>
      </c>
      <c r="E471" s="89"/>
    </row>
    <row r="472" spans="1:5">
      <c r="A472" s="89" t="s">
        <v>369</v>
      </c>
      <c r="B472" s="290">
        <v>50653</v>
      </c>
      <c r="C472" s="289">
        <v>42935</v>
      </c>
      <c r="D472" s="105">
        <f t="shared" si="7"/>
        <v>0.84799999999999998</v>
      </c>
      <c r="E472" s="89"/>
    </row>
    <row r="473" spans="1:5">
      <c r="A473" s="89" t="s">
        <v>59</v>
      </c>
      <c r="B473" s="290">
        <v>3397</v>
      </c>
      <c r="C473" s="289">
        <v>2153</v>
      </c>
      <c r="D473" s="105">
        <f t="shared" si="7"/>
        <v>0.63400000000000001</v>
      </c>
      <c r="E473" s="89"/>
    </row>
    <row r="474" spans="1:5">
      <c r="A474" s="89" t="s">
        <v>60</v>
      </c>
      <c r="B474" s="290">
        <v>208</v>
      </c>
      <c r="C474" s="291">
        <v>29</v>
      </c>
      <c r="D474" s="105">
        <f t="shared" si="7"/>
        <v>0.13900000000000001</v>
      </c>
      <c r="E474" s="89"/>
    </row>
    <row r="475" spans="1:5">
      <c r="A475" s="89" t="s">
        <v>61</v>
      </c>
      <c r="B475" s="290">
        <v>301</v>
      </c>
      <c r="C475" s="289">
        <v>285</v>
      </c>
      <c r="D475" s="105">
        <f t="shared" si="7"/>
        <v>0.94699999999999995</v>
      </c>
      <c r="E475" s="89"/>
    </row>
    <row r="476" spans="1:5">
      <c r="A476" s="89" t="s">
        <v>370</v>
      </c>
      <c r="B476" s="290">
        <v>13691</v>
      </c>
      <c r="C476" s="289">
        <v>12133</v>
      </c>
      <c r="D476" s="105">
        <f t="shared" si="7"/>
        <v>0.88600000000000001</v>
      </c>
      <c r="E476" s="89"/>
    </row>
    <row r="477" spans="1:5">
      <c r="A477" s="89" t="s">
        <v>371</v>
      </c>
      <c r="B477" s="290">
        <v>1463</v>
      </c>
      <c r="C477" s="289">
        <v>2177</v>
      </c>
      <c r="D477" s="105">
        <f t="shared" si="7"/>
        <v>1.488</v>
      </c>
      <c r="E477" s="89"/>
    </row>
    <row r="478" spans="1:5">
      <c r="A478" s="89" t="s">
        <v>372</v>
      </c>
      <c r="B478" s="290">
        <v>2790</v>
      </c>
      <c r="C478" s="289">
        <v>2579</v>
      </c>
      <c r="D478" s="105">
        <f t="shared" si="7"/>
        <v>0.92400000000000004</v>
      </c>
      <c r="E478" s="89"/>
    </row>
    <row r="479" spans="1:5">
      <c r="A479" s="89" t="s">
        <v>373</v>
      </c>
      <c r="B479" s="290">
        <v>9382</v>
      </c>
      <c r="C479" s="289">
        <v>8002</v>
      </c>
      <c r="D479" s="105">
        <f t="shared" si="7"/>
        <v>0.85299999999999998</v>
      </c>
      <c r="E479" s="89"/>
    </row>
    <row r="480" spans="1:5">
      <c r="A480" s="89" t="s">
        <v>374</v>
      </c>
      <c r="B480" s="290">
        <v>5526</v>
      </c>
      <c r="C480" s="291">
        <v>5047</v>
      </c>
      <c r="D480" s="105">
        <f t="shared" si="7"/>
        <v>0.91300000000000003</v>
      </c>
      <c r="E480" s="89"/>
    </row>
    <row r="481" spans="1:5">
      <c r="A481" s="89" t="s">
        <v>375</v>
      </c>
      <c r="B481" s="290">
        <v>0</v>
      </c>
      <c r="C481" s="291">
        <v>0</v>
      </c>
      <c r="D481" s="105" t="str">
        <f t="shared" si="7"/>
        <v/>
      </c>
      <c r="E481" s="89"/>
    </row>
    <row r="482" spans="1:5">
      <c r="A482" s="89" t="s">
        <v>376</v>
      </c>
      <c r="B482" s="290">
        <v>13895</v>
      </c>
      <c r="C482" s="291">
        <v>10530</v>
      </c>
      <c r="D482" s="105">
        <f t="shared" si="7"/>
        <v>0.75800000000000001</v>
      </c>
      <c r="E482" s="89"/>
    </row>
    <row r="483" spans="1:5">
      <c r="A483" s="89" t="s">
        <v>377</v>
      </c>
      <c r="B483" s="290">
        <v>56242</v>
      </c>
      <c r="C483" s="289">
        <v>51594</v>
      </c>
      <c r="D483" s="105">
        <f t="shared" si="7"/>
        <v>0.91700000000000004</v>
      </c>
      <c r="E483" s="89"/>
    </row>
    <row r="484" spans="1:5">
      <c r="A484" s="89" t="s">
        <v>59</v>
      </c>
      <c r="B484" s="290">
        <v>1541</v>
      </c>
      <c r="C484" s="291">
        <v>1261</v>
      </c>
      <c r="D484" s="105">
        <f t="shared" si="7"/>
        <v>0.81799999999999995</v>
      </c>
      <c r="E484" s="89"/>
    </row>
    <row r="485" spans="1:5">
      <c r="A485" s="89" t="s">
        <v>60</v>
      </c>
      <c r="B485" s="290">
        <v>42</v>
      </c>
      <c r="C485" s="291">
        <v>39</v>
      </c>
      <c r="D485" s="105">
        <f t="shared" si="7"/>
        <v>0.92900000000000005</v>
      </c>
      <c r="E485" s="89"/>
    </row>
    <row r="486" spans="1:5">
      <c r="A486" s="89" t="s">
        <v>61</v>
      </c>
      <c r="B486" s="290">
        <v>0</v>
      </c>
      <c r="C486" s="291">
        <v>0</v>
      </c>
      <c r="D486" s="105" t="str">
        <f t="shared" si="7"/>
        <v/>
      </c>
      <c r="E486" s="89"/>
    </row>
    <row r="487" spans="1:5">
      <c r="A487" s="89" t="s">
        <v>378</v>
      </c>
      <c r="B487" s="290">
        <v>1849</v>
      </c>
      <c r="C487" s="291">
        <v>869</v>
      </c>
      <c r="D487" s="105">
        <f t="shared" si="7"/>
        <v>0.47</v>
      </c>
      <c r="E487" s="89"/>
    </row>
    <row r="488" spans="1:5">
      <c r="A488" s="89" t="s">
        <v>379</v>
      </c>
      <c r="B488" s="290">
        <v>43873</v>
      </c>
      <c r="C488" s="289">
        <v>42666</v>
      </c>
      <c r="D488" s="105">
        <f t="shared" si="7"/>
        <v>0.97199999999999998</v>
      </c>
      <c r="E488" s="89"/>
    </row>
    <row r="489" spans="1:5">
      <c r="A489" s="89" t="s">
        <v>380</v>
      </c>
      <c r="B489" s="290">
        <v>32</v>
      </c>
      <c r="C489" s="291">
        <v>7</v>
      </c>
      <c r="D489" s="105">
        <f t="shared" si="7"/>
        <v>0.219</v>
      </c>
      <c r="E489" s="89"/>
    </row>
    <row r="490" spans="1:5">
      <c r="A490" s="89" t="s">
        <v>381</v>
      </c>
      <c r="B490" s="290">
        <v>4921</v>
      </c>
      <c r="C490" s="289">
        <v>2724</v>
      </c>
      <c r="D490" s="105">
        <f t="shared" si="7"/>
        <v>0.55400000000000005</v>
      </c>
      <c r="E490" s="89"/>
    </row>
    <row r="491" spans="1:5">
      <c r="A491" s="89" t="s">
        <v>382</v>
      </c>
      <c r="B491" s="290">
        <v>3984</v>
      </c>
      <c r="C491" s="289">
        <v>4028</v>
      </c>
      <c r="D491" s="105">
        <f t="shared" si="7"/>
        <v>1.0109999999999999</v>
      </c>
      <c r="E491" s="89"/>
    </row>
    <row r="492" spans="1:5">
      <c r="A492" s="89" t="s">
        <v>383</v>
      </c>
      <c r="B492" s="290">
        <v>196304</v>
      </c>
      <c r="C492" s="289">
        <v>142995</v>
      </c>
      <c r="D492" s="105">
        <f t="shared" si="7"/>
        <v>0.72799999999999998</v>
      </c>
      <c r="E492" s="89"/>
    </row>
    <row r="493" spans="1:5">
      <c r="A493" s="89" t="s">
        <v>59</v>
      </c>
      <c r="B493" s="290">
        <v>8971</v>
      </c>
      <c r="C493" s="289">
        <v>11797</v>
      </c>
      <c r="D493" s="105">
        <f t="shared" si="7"/>
        <v>1.3149999999999999</v>
      </c>
      <c r="E493" s="89"/>
    </row>
    <row r="494" spans="1:5">
      <c r="A494" s="89" t="s">
        <v>60</v>
      </c>
      <c r="B494" s="290">
        <v>330</v>
      </c>
      <c r="C494" s="291">
        <v>321</v>
      </c>
      <c r="D494" s="105">
        <f t="shared" si="7"/>
        <v>0.97299999999999998</v>
      </c>
      <c r="E494" s="89"/>
    </row>
    <row r="495" spans="1:5">
      <c r="A495" s="89" t="s">
        <v>61</v>
      </c>
      <c r="B495" s="290">
        <v>2482</v>
      </c>
      <c r="C495" s="289">
        <v>2617</v>
      </c>
      <c r="D495" s="105">
        <f t="shared" si="7"/>
        <v>1.054</v>
      </c>
      <c r="E495" s="89"/>
    </row>
    <row r="496" spans="1:5">
      <c r="A496" s="89" t="s">
        <v>384</v>
      </c>
      <c r="B496" s="290">
        <v>49158</v>
      </c>
      <c r="C496" s="291">
        <v>1173</v>
      </c>
      <c r="D496" s="105">
        <f t="shared" si="7"/>
        <v>2.4E-2</v>
      </c>
      <c r="E496" s="89"/>
    </row>
    <row r="497" spans="1:5">
      <c r="A497" s="89" t="s">
        <v>385</v>
      </c>
      <c r="B497" s="290">
        <v>53794</v>
      </c>
      <c r="C497" s="289">
        <v>23592</v>
      </c>
      <c r="D497" s="105">
        <f t="shared" si="7"/>
        <v>0.439</v>
      </c>
      <c r="E497" s="89"/>
    </row>
    <row r="498" spans="1:5">
      <c r="A498" s="89" t="s">
        <v>386</v>
      </c>
      <c r="B498" s="290">
        <v>0</v>
      </c>
      <c r="C498" s="289">
        <v>46076</v>
      </c>
      <c r="D498" s="105" t="str">
        <f t="shared" si="7"/>
        <v/>
      </c>
      <c r="E498" s="89"/>
    </row>
    <row r="499" spans="1:5">
      <c r="A499" s="89" t="s">
        <v>387</v>
      </c>
      <c r="B499" s="290">
        <v>81569</v>
      </c>
      <c r="C499" s="289">
        <v>57419</v>
      </c>
      <c r="D499" s="105">
        <f t="shared" si="7"/>
        <v>0.70399999999999996</v>
      </c>
      <c r="E499" s="89"/>
    </row>
    <row r="500" spans="1:5">
      <c r="A500" s="89" t="s">
        <v>388</v>
      </c>
      <c r="B500" s="290">
        <v>92039</v>
      </c>
      <c r="C500" s="289">
        <v>105217</v>
      </c>
      <c r="D500" s="105">
        <f t="shared" si="7"/>
        <v>1.143</v>
      </c>
      <c r="E500" s="89"/>
    </row>
    <row r="501" spans="1:5">
      <c r="A501" s="89" t="s">
        <v>389</v>
      </c>
      <c r="B501" s="290">
        <v>1325</v>
      </c>
      <c r="C501" s="291">
        <v>50</v>
      </c>
      <c r="D501" s="105">
        <f t="shared" si="7"/>
        <v>3.7999999999999999E-2</v>
      </c>
      <c r="E501" s="89"/>
    </row>
    <row r="502" spans="1:5">
      <c r="A502" s="89" t="s">
        <v>390</v>
      </c>
      <c r="B502" s="290">
        <v>129</v>
      </c>
      <c r="C502" s="291">
        <v>300</v>
      </c>
      <c r="D502" s="105">
        <f t="shared" si="7"/>
        <v>2.3260000000000001</v>
      </c>
      <c r="E502" s="89"/>
    </row>
    <row r="503" spans="1:5">
      <c r="A503" s="89" t="s">
        <v>391</v>
      </c>
      <c r="B503" s="290">
        <v>90585</v>
      </c>
      <c r="C503" s="289">
        <v>104867</v>
      </c>
      <c r="D503" s="105">
        <f t="shared" si="7"/>
        <v>1.1579999999999999</v>
      </c>
      <c r="E503" s="89"/>
    </row>
    <row r="504" spans="1:5">
      <c r="A504" s="89" t="s">
        <v>392</v>
      </c>
      <c r="B504" s="290">
        <v>6457349</v>
      </c>
      <c r="C504" s="289">
        <v>6172238</v>
      </c>
      <c r="D504" s="105">
        <f t="shared" si="7"/>
        <v>0.95599999999999996</v>
      </c>
      <c r="E504" s="89"/>
    </row>
    <row r="505" spans="1:5">
      <c r="A505" s="89" t="s">
        <v>393</v>
      </c>
      <c r="B505" s="292">
        <v>162259</v>
      </c>
      <c r="C505" s="289">
        <v>242477</v>
      </c>
      <c r="D505" s="105">
        <f t="shared" si="7"/>
        <v>1.494</v>
      </c>
      <c r="E505" s="89"/>
    </row>
    <row r="506" spans="1:5">
      <c r="A506" s="89" t="s">
        <v>59</v>
      </c>
      <c r="B506" s="290">
        <v>78162</v>
      </c>
      <c r="C506" s="289">
        <v>107014</v>
      </c>
      <c r="D506" s="105">
        <f t="shared" si="7"/>
        <v>1.369</v>
      </c>
      <c r="E506" s="89"/>
    </row>
    <row r="507" spans="1:5">
      <c r="A507" s="89" t="s">
        <v>60</v>
      </c>
      <c r="B507" s="290">
        <v>11720</v>
      </c>
      <c r="C507" s="291">
        <v>19970</v>
      </c>
      <c r="D507" s="105">
        <f t="shared" si="7"/>
        <v>1.704</v>
      </c>
      <c r="E507" s="89"/>
    </row>
    <row r="508" spans="1:5">
      <c r="A508" s="89" t="s">
        <v>61</v>
      </c>
      <c r="B508" s="290">
        <v>1373</v>
      </c>
      <c r="C508" s="291">
        <v>1402</v>
      </c>
      <c r="D508" s="105">
        <f t="shared" si="7"/>
        <v>1.0209999999999999</v>
      </c>
      <c r="E508" s="89"/>
    </row>
    <row r="509" spans="1:5">
      <c r="A509" s="89" t="s">
        <v>394</v>
      </c>
      <c r="B509" s="290">
        <v>4034</v>
      </c>
      <c r="C509" s="291">
        <v>4718</v>
      </c>
      <c r="D509" s="105">
        <f t="shared" si="7"/>
        <v>1.17</v>
      </c>
      <c r="E509" s="89"/>
    </row>
    <row r="510" spans="1:5">
      <c r="A510" s="89" t="s">
        <v>395</v>
      </c>
      <c r="B510" s="290">
        <v>350</v>
      </c>
      <c r="C510" s="289">
        <v>608</v>
      </c>
      <c r="D510" s="105">
        <f t="shared" si="7"/>
        <v>1.7370000000000001</v>
      </c>
      <c r="E510" s="89"/>
    </row>
    <row r="511" spans="1:5">
      <c r="A511" s="89" t="s">
        <v>396</v>
      </c>
      <c r="B511" s="290">
        <v>1268</v>
      </c>
      <c r="C511" s="291">
        <v>693</v>
      </c>
      <c r="D511" s="105">
        <f t="shared" si="7"/>
        <v>0.54700000000000004</v>
      </c>
      <c r="E511" s="89"/>
    </row>
    <row r="512" spans="1:5">
      <c r="A512" s="89" t="s">
        <v>397</v>
      </c>
      <c r="B512" s="290">
        <v>922</v>
      </c>
      <c r="C512" s="291">
        <v>721</v>
      </c>
      <c r="D512" s="105">
        <f t="shared" si="7"/>
        <v>0.78200000000000003</v>
      </c>
      <c r="E512" s="89"/>
    </row>
    <row r="513" spans="1:5">
      <c r="A513" s="89" t="s">
        <v>100</v>
      </c>
      <c r="B513" s="290">
        <v>405</v>
      </c>
      <c r="C513" s="291">
        <v>537</v>
      </c>
      <c r="D513" s="105">
        <f t="shared" si="7"/>
        <v>1.3260000000000001</v>
      </c>
      <c r="E513" s="89"/>
    </row>
    <row r="514" spans="1:5">
      <c r="A514" s="89" t="s">
        <v>398</v>
      </c>
      <c r="B514" s="292">
        <v>29746</v>
      </c>
      <c r="C514" s="289">
        <v>39374</v>
      </c>
      <c r="D514" s="105">
        <f t="shared" si="7"/>
        <v>1.3240000000000001</v>
      </c>
      <c r="E514" s="89"/>
    </row>
    <row r="515" spans="1:5">
      <c r="A515" s="89" t="s">
        <v>399</v>
      </c>
      <c r="B515" s="292">
        <v>41</v>
      </c>
      <c r="C515" s="291">
        <v>0</v>
      </c>
      <c r="D515" s="105">
        <f t="shared" si="7"/>
        <v>0</v>
      </c>
      <c r="E515" s="89"/>
    </row>
    <row r="516" spans="1:5">
      <c r="A516" s="89" t="s">
        <v>400</v>
      </c>
      <c r="B516" s="292">
        <v>3536</v>
      </c>
      <c r="C516" s="289">
        <v>3990</v>
      </c>
      <c r="D516" s="105">
        <f t="shared" si="7"/>
        <v>1.1279999999999999</v>
      </c>
      <c r="E516" s="89"/>
    </row>
    <row r="517" spans="1:5">
      <c r="A517" s="89" t="s">
        <v>401</v>
      </c>
      <c r="B517" s="292">
        <v>118</v>
      </c>
      <c r="C517" s="291">
        <v>440</v>
      </c>
      <c r="D517" s="105">
        <f t="shared" ref="D517:D580" si="8">IF(B517=0,"",ROUND(C517/B517,3))</f>
        <v>3.7290000000000001</v>
      </c>
      <c r="E517" s="89"/>
    </row>
    <row r="518" spans="1:5">
      <c r="A518" s="89" t="s">
        <v>402</v>
      </c>
      <c r="B518" s="290"/>
      <c r="C518" s="291">
        <v>0</v>
      </c>
      <c r="D518" s="105" t="str">
        <f t="shared" si="8"/>
        <v/>
      </c>
      <c r="E518" s="89"/>
    </row>
    <row r="519" spans="1:5">
      <c r="A519" s="89" t="s">
        <v>403</v>
      </c>
      <c r="B519" s="290"/>
      <c r="C519" s="291">
        <v>0</v>
      </c>
      <c r="D519" s="105" t="str">
        <f t="shared" si="8"/>
        <v/>
      </c>
      <c r="E519" s="89"/>
    </row>
    <row r="520" spans="1:5">
      <c r="A520" s="89" t="s">
        <v>404</v>
      </c>
      <c r="B520" s="290"/>
      <c r="C520" s="289">
        <v>580</v>
      </c>
      <c r="D520" s="105" t="str">
        <f t="shared" si="8"/>
        <v/>
      </c>
      <c r="E520" s="89"/>
    </row>
    <row r="521" spans="1:5">
      <c r="A521" s="89" t="s">
        <v>405</v>
      </c>
      <c r="B521" s="290"/>
      <c r="C521" s="291">
        <v>90</v>
      </c>
      <c r="D521" s="105" t="str">
        <f t="shared" si="8"/>
        <v/>
      </c>
      <c r="E521" s="89"/>
    </row>
    <row r="522" spans="1:5">
      <c r="A522" s="89" t="s">
        <v>68</v>
      </c>
      <c r="B522" s="290"/>
      <c r="C522" s="289">
        <v>9893</v>
      </c>
      <c r="D522" s="105" t="str">
        <f t="shared" si="8"/>
        <v/>
      </c>
      <c r="E522" s="89"/>
    </row>
    <row r="523" spans="1:5">
      <c r="A523" s="89" t="s">
        <v>406</v>
      </c>
      <c r="B523" s="290">
        <v>30584</v>
      </c>
      <c r="C523" s="289">
        <v>52447</v>
      </c>
      <c r="D523" s="105">
        <f t="shared" si="8"/>
        <v>1.7150000000000001</v>
      </c>
      <c r="E523" s="89"/>
    </row>
    <row r="524" spans="1:5">
      <c r="A524" s="89" t="s">
        <v>407</v>
      </c>
      <c r="B524" s="290">
        <v>268660</v>
      </c>
      <c r="C524" s="289">
        <v>453561</v>
      </c>
      <c r="D524" s="105">
        <f t="shared" si="8"/>
        <v>1.6879999999999999</v>
      </c>
      <c r="E524" s="89"/>
    </row>
    <row r="525" spans="1:5">
      <c r="A525" s="89" t="s">
        <v>59</v>
      </c>
      <c r="B525" s="290">
        <v>40434</v>
      </c>
      <c r="C525" s="289">
        <v>38632</v>
      </c>
      <c r="D525" s="105">
        <f t="shared" si="8"/>
        <v>0.95499999999999996</v>
      </c>
      <c r="E525" s="89"/>
    </row>
    <row r="526" spans="1:5">
      <c r="A526" s="89" t="s">
        <v>60</v>
      </c>
      <c r="B526" s="290">
        <v>7781</v>
      </c>
      <c r="C526" s="289">
        <v>12934</v>
      </c>
      <c r="D526" s="105">
        <f t="shared" si="8"/>
        <v>1.6619999999999999</v>
      </c>
      <c r="E526" s="89"/>
    </row>
    <row r="527" spans="1:5">
      <c r="A527" s="89" t="s">
        <v>61</v>
      </c>
      <c r="B527" s="290">
        <v>2148</v>
      </c>
      <c r="C527" s="289">
        <v>1927</v>
      </c>
      <c r="D527" s="105">
        <f t="shared" si="8"/>
        <v>0.89700000000000002</v>
      </c>
      <c r="E527" s="89"/>
    </row>
    <row r="528" spans="1:5">
      <c r="A528" s="89" t="s">
        <v>408</v>
      </c>
      <c r="B528" s="290">
        <v>60</v>
      </c>
      <c r="C528" s="289">
        <v>985</v>
      </c>
      <c r="D528" s="105">
        <f t="shared" si="8"/>
        <v>16.417000000000002</v>
      </c>
      <c r="E528" s="89"/>
    </row>
    <row r="529" spans="1:5">
      <c r="A529" s="89" t="s">
        <v>409</v>
      </c>
      <c r="B529" s="290">
        <v>932</v>
      </c>
      <c r="C529" s="289">
        <v>365</v>
      </c>
      <c r="D529" s="105">
        <f t="shared" si="8"/>
        <v>0.39200000000000002</v>
      </c>
      <c r="E529" s="89"/>
    </row>
    <row r="530" spans="1:5">
      <c r="A530" s="89" t="s">
        <v>410</v>
      </c>
      <c r="B530" s="290">
        <v>183209</v>
      </c>
      <c r="C530" s="289">
        <v>180906</v>
      </c>
      <c r="D530" s="105">
        <f t="shared" si="8"/>
        <v>0.98699999999999999</v>
      </c>
      <c r="E530" s="89"/>
    </row>
    <row r="531" spans="1:5">
      <c r="A531" s="89" t="s">
        <v>411</v>
      </c>
      <c r="B531" s="290">
        <v>34096</v>
      </c>
      <c r="C531" s="289">
        <v>217812</v>
      </c>
      <c r="D531" s="105">
        <f t="shared" si="8"/>
        <v>6.3879999999999999</v>
      </c>
      <c r="E531" s="89"/>
    </row>
    <row r="532" spans="1:5">
      <c r="A532" s="89" t="s">
        <v>412</v>
      </c>
      <c r="B532" s="292">
        <v>0</v>
      </c>
      <c r="C532" s="291">
        <v>150</v>
      </c>
      <c r="D532" s="105" t="str">
        <f t="shared" si="8"/>
        <v/>
      </c>
      <c r="E532" s="89"/>
    </row>
    <row r="533" spans="1:5">
      <c r="A533" s="89" t="s">
        <v>413</v>
      </c>
      <c r="B533" s="292">
        <v>0</v>
      </c>
      <c r="C533" s="291">
        <v>150</v>
      </c>
      <c r="D533" s="105" t="str">
        <f t="shared" si="8"/>
        <v/>
      </c>
      <c r="E533" s="89"/>
    </row>
    <row r="534" spans="1:5">
      <c r="A534" s="89" t="s">
        <v>414</v>
      </c>
      <c r="B534" s="290">
        <v>2430749</v>
      </c>
      <c r="C534" s="289">
        <v>2440852</v>
      </c>
      <c r="D534" s="105">
        <f t="shared" si="8"/>
        <v>1.004</v>
      </c>
      <c r="E534" s="89"/>
    </row>
    <row r="535" spans="1:5">
      <c r="A535" s="89" t="s">
        <v>415</v>
      </c>
      <c r="B535" s="290">
        <v>99952</v>
      </c>
      <c r="C535" s="289">
        <v>107745</v>
      </c>
      <c r="D535" s="105">
        <f t="shared" si="8"/>
        <v>1.0780000000000001</v>
      </c>
      <c r="E535" s="89"/>
    </row>
    <row r="536" spans="1:5">
      <c r="A536" s="89" t="s">
        <v>416</v>
      </c>
      <c r="B536" s="290">
        <v>72768</v>
      </c>
      <c r="C536" s="289">
        <v>72972</v>
      </c>
      <c r="D536" s="105">
        <f t="shared" si="8"/>
        <v>1.0029999999999999</v>
      </c>
      <c r="E536" s="89"/>
    </row>
    <row r="537" spans="1:5">
      <c r="A537" s="89" t="s">
        <v>417</v>
      </c>
      <c r="B537" s="290">
        <v>13281</v>
      </c>
      <c r="C537" s="289">
        <v>17170</v>
      </c>
      <c r="D537" s="105">
        <f t="shared" si="8"/>
        <v>1.2929999999999999</v>
      </c>
      <c r="E537" s="89"/>
    </row>
    <row r="538" spans="1:5">
      <c r="A538" s="89" t="s">
        <v>418</v>
      </c>
      <c r="B538" s="290">
        <v>1097291</v>
      </c>
      <c r="C538" s="289">
        <v>1151584</v>
      </c>
      <c r="D538" s="105">
        <f t="shared" si="8"/>
        <v>1.0489999999999999</v>
      </c>
      <c r="E538" s="89"/>
    </row>
    <row r="539" spans="1:5">
      <c r="A539" s="89" t="s">
        <v>419</v>
      </c>
      <c r="B539" s="290">
        <v>94989</v>
      </c>
      <c r="C539" s="289">
        <v>138370</v>
      </c>
      <c r="D539" s="105">
        <f t="shared" si="8"/>
        <v>1.4570000000000001</v>
      </c>
      <c r="E539" s="89"/>
    </row>
    <row r="540" spans="1:5">
      <c r="A540" s="89" t="s">
        <v>420</v>
      </c>
      <c r="B540" s="290">
        <v>1048300</v>
      </c>
      <c r="C540" s="289">
        <v>945198</v>
      </c>
      <c r="D540" s="105">
        <f t="shared" si="8"/>
        <v>0.90200000000000002</v>
      </c>
      <c r="E540" s="89"/>
    </row>
    <row r="541" spans="1:5">
      <c r="A541" s="89" t="s">
        <v>421</v>
      </c>
      <c r="B541" s="290"/>
      <c r="C541" s="291">
        <v>3072</v>
      </c>
      <c r="D541" s="105" t="str">
        <f t="shared" si="8"/>
        <v/>
      </c>
      <c r="E541" s="89"/>
    </row>
    <row r="542" spans="1:5">
      <c r="A542" s="89" t="s">
        <v>422</v>
      </c>
      <c r="B542" s="290">
        <v>4168</v>
      </c>
      <c r="C542" s="291">
        <v>4741</v>
      </c>
      <c r="D542" s="105">
        <f t="shared" si="8"/>
        <v>1.137</v>
      </c>
      <c r="E542" s="89"/>
    </row>
    <row r="543" spans="1:5">
      <c r="A543" s="89" t="s">
        <v>423</v>
      </c>
      <c r="B543" s="290">
        <v>31479</v>
      </c>
      <c r="C543" s="289">
        <v>53428</v>
      </c>
      <c r="D543" s="105">
        <f t="shared" si="8"/>
        <v>1.6970000000000001</v>
      </c>
      <c r="E543" s="89"/>
    </row>
    <row r="544" spans="1:5">
      <c r="A544" s="89" t="s">
        <v>424</v>
      </c>
      <c r="B544" s="290">
        <v>2344</v>
      </c>
      <c r="C544" s="289">
        <v>1948</v>
      </c>
      <c r="D544" s="105">
        <f t="shared" si="8"/>
        <v>0.83099999999999996</v>
      </c>
      <c r="E544" s="89"/>
    </row>
    <row r="545" spans="1:5">
      <c r="A545" s="89" t="s">
        <v>425</v>
      </c>
      <c r="B545" s="290">
        <v>0</v>
      </c>
      <c r="C545" s="291">
        <v>10</v>
      </c>
      <c r="D545" s="105" t="str">
        <f t="shared" si="8"/>
        <v/>
      </c>
      <c r="E545" s="89"/>
    </row>
    <row r="546" spans="1:5">
      <c r="A546" s="89" t="s">
        <v>426</v>
      </c>
      <c r="B546" s="290">
        <v>29135</v>
      </c>
      <c r="C546" s="289">
        <v>51470</v>
      </c>
      <c r="D546" s="105">
        <f t="shared" si="8"/>
        <v>1.7669999999999999</v>
      </c>
      <c r="E546" s="89"/>
    </row>
    <row r="547" spans="1:5">
      <c r="A547" s="89" t="s">
        <v>427</v>
      </c>
      <c r="B547" s="290">
        <v>452032</v>
      </c>
      <c r="C547" s="289">
        <v>284362</v>
      </c>
      <c r="D547" s="105">
        <f t="shared" si="8"/>
        <v>0.629</v>
      </c>
      <c r="E547" s="89"/>
    </row>
    <row r="548" spans="1:5">
      <c r="A548" s="89" t="s">
        <v>428</v>
      </c>
      <c r="B548" s="290">
        <v>3199</v>
      </c>
      <c r="C548" s="291">
        <v>2399</v>
      </c>
      <c r="D548" s="105">
        <f t="shared" si="8"/>
        <v>0.75</v>
      </c>
      <c r="E548" s="89"/>
    </row>
    <row r="549" spans="1:5">
      <c r="A549" s="89" t="s">
        <v>429</v>
      </c>
      <c r="B549" s="290">
        <v>2707</v>
      </c>
      <c r="C549" s="291">
        <v>1727</v>
      </c>
      <c r="D549" s="105">
        <f t="shared" si="8"/>
        <v>0.63800000000000001</v>
      </c>
      <c r="E549" s="89"/>
    </row>
    <row r="550" spans="1:5">
      <c r="A550" s="89" t="s">
        <v>430</v>
      </c>
      <c r="B550" s="290">
        <v>49196</v>
      </c>
      <c r="C550" s="291">
        <v>14242</v>
      </c>
      <c r="D550" s="105">
        <f t="shared" si="8"/>
        <v>0.28899999999999998</v>
      </c>
      <c r="E550" s="89"/>
    </row>
    <row r="551" spans="1:5">
      <c r="A551" s="89" t="s">
        <v>431</v>
      </c>
      <c r="B551" s="290">
        <v>123726</v>
      </c>
      <c r="C551" s="289">
        <v>102786</v>
      </c>
      <c r="D551" s="105">
        <f t="shared" si="8"/>
        <v>0.83099999999999996</v>
      </c>
      <c r="E551" s="89"/>
    </row>
    <row r="552" spans="1:5">
      <c r="A552" s="89" t="s">
        <v>432</v>
      </c>
      <c r="B552" s="290">
        <v>157</v>
      </c>
      <c r="C552" s="291">
        <v>1892</v>
      </c>
      <c r="D552" s="105">
        <f t="shared" si="8"/>
        <v>12.051</v>
      </c>
      <c r="E552" s="89"/>
    </row>
    <row r="553" spans="1:5">
      <c r="A553" s="89" t="s">
        <v>433</v>
      </c>
      <c r="B553" s="290">
        <v>1258</v>
      </c>
      <c r="C553" s="291">
        <v>590</v>
      </c>
      <c r="D553" s="105">
        <f t="shared" si="8"/>
        <v>0.46899999999999997</v>
      </c>
      <c r="E553" s="89"/>
    </row>
    <row r="554" spans="1:5">
      <c r="A554" s="89" t="s">
        <v>434</v>
      </c>
      <c r="B554" s="290">
        <v>343</v>
      </c>
      <c r="C554" s="291">
        <v>26</v>
      </c>
      <c r="D554" s="105">
        <f t="shared" si="8"/>
        <v>7.5999999999999998E-2</v>
      </c>
      <c r="E554" s="89"/>
    </row>
    <row r="555" spans="1:5">
      <c r="A555" s="89" t="s">
        <v>435</v>
      </c>
      <c r="B555" s="290">
        <v>1721</v>
      </c>
      <c r="C555" s="291">
        <v>2560</v>
      </c>
      <c r="D555" s="105">
        <f t="shared" si="8"/>
        <v>1.488</v>
      </c>
      <c r="E555" s="89"/>
    </row>
    <row r="556" spans="1:5">
      <c r="A556" s="89" t="s">
        <v>436</v>
      </c>
      <c r="B556" s="290">
        <v>269725</v>
      </c>
      <c r="C556" s="291">
        <v>158140</v>
      </c>
      <c r="D556" s="105">
        <f t="shared" si="8"/>
        <v>0.58599999999999997</v>
      </c>
      <c r="E556" s="89"/>
    </row>
    <row r="557" spans="1:5">
      <c r="A557" s="89" t="s">
        <v>437</v>
      </c>
      <c r="B557" s="290">
        <v>79664</v>
      </c>
      <c r="C557" s="289">
        <v>58698</v>
      </c>
      <c r="D557" s="105">
        <f t="shared" si="8"/>
        <v>0.73699999999999999</v>
      </c>
      <c r="E557" s="89"/>
    </row>
    <row r="558" spans="1:5">
      <c r="A558" s="89" t="s">
        <v>438</v>
      </c>
      <c r="B558" s="290">
        <v>26504</v>
      </c>
      <c r="C558" s="291">
        <v>15679</v>
      </c>
      <c r="D558" s="105">
        <f t="shared" si="8"/>
        <v>0.59199999999999997</v>
      </c>
      <c r="E558" s="89"/>
    </row>
    <row r="559" spans="1:5">
      <c r="A559" s="89" t="s">
        <v>439</v>
      </c>
      <c r="B559" s="290">
        <v>39855</v>
      </c>
      <c r="C559" s="289">
        <v>29512</v>
      </c>
      <c r="D559" s="105">
        <f t="shared" si="8"/>
        <v>0.74</v>
      </c>
      <c r="E559" s="89"/>
    </row>
    <row r="560" spans="1:5">
      <c r="A560" s="89" t="s">
        <v>440</v>
      </c>
      <c r="B560" s="290">
        <v>768</v>
      </c>
      <c r="C560" s="291">
        <v>469</v>
      </c>
      <c r="D560" s="105">
        <f t="shared" si="8"/>
        <v>0.61099999999999999</v>
      </c>
      <c r="E560" s="89"/>
    </row>
    <row r="561" spans="1:5">
      <c r="A561" s="89" t="s">
        <v>441</v>
      </c>
      <c r="B561" s="290">
        <v>2681</v>
      </c>
      <c r="C561" s="289">
        <v>2760</v>
      </c>
      <c r="D561" s="105">
        <f t="shared" si="8"/>
        <v>1.0289999999999999</v>
      </c>
      <c r="E561" s="89"/>
    </row>
    <row r="562" spans="1:5">
      <c r="A562" s="89" t="s">
        <v>442</v>
      </c>
      <c r="B562" s="290">
        <v>5927</v>
      </c>
      <c r="C562" s="291">
        <v>3329</v>
      </c>
      <c r="D562" s="105">
        <f t="shared" si="8"/>
        <v>0.56200000000000006</v>
      </c>
      <c r="E562" s="89"/>
    </row>
    <row r="563" spans="1:5">
      <c r="A563" s="89" t="s">
        <v>443</v>
      </c>
      <c r="B563" s="290">
        <v>1314</v>
      </c>
      <c r="C563" s="291">
        <v>353</v>
      </c>
      <c r="D563" s="105">
        <f t="shared" si="8"/>
        <v>0.26900000000000002</v>
      </c>
      <c r="E563" s="89"/>
    </row>
    <row r="564" spans="1:5">
      <c r="A564" s="89" t="s">
        <v>444</v>
      </c>
      <c r="B564" s="290">
        <v>2615</v>
      </c>
      <c r="C564" s="291">
        <v>6596</v>
      </c>
      <c r="D564" s="105">
        <f t="shared" si="8"/>
        <v>2.5219999999999998</v>
      </c>
      <c r="E564" s="89"/>
    </row>
    <row r="565" spans="1:5">
      <c r="A565" s="89" t="s">
        <v>445</v>
      </c>
      <c r="B565" s="290">
        <v>663215</v>
      </c>
      <c r="C565" s="289">
        <v>583619</v>
      </c>
      <c r="D565" s="105">
        <f t="shared" si="8"/>
        <v>0.88</v>
      </c>
      <c r="E565" s="93"/>
    </row>
    <row r="566" spans="1:5">
      <c r="A566" s="89" t="s">
        <v>446</v>
      </c>
      <c r="B566" s="290">
        <v>14291</v>
      </c>
      <c r="C566" s="289">
        <v>9242</v>
      </c>
      <c r="D566" s="105">
        <f t="shared" si="8"/>
        <v>0.64700000000000002</v>
      </c>
      <c r="E566" s="93"/>
    </row>
    <row r="567" spans="1:5">
      <c r="A567" s="89" t="s">
        <v>447</v>
      </c>
      <c r="B567" s="290">
        <v>29395</v>
      </c>
      <c r="C567" s="289">
        <v>115450</v>
      </c>
      <c r="D567" s="105">
        <f t="shared" si="8"/>
        <v>3.9279999999999999</v>
      </c>
      <c r="E567" s="89"/>
    </row>
    <row r="568" spans="1:5">
      <c r="A568" s="89" t="s">
        <v>448</v>
      </c>
      <c r="B568" s="290">
        <v>3785</v>
      </c>
      <c r="C568" s="289">
        <v>3510</v>
      </c>
      <c r="D568" s="105">
        <f t="shared" si="8"/>
        <v>0.92700000000000005</v>
      </c>
      <c r="E568" s="89"/>
    </row>
    <row r="569" spans="1:5">
      <c r="A569" s="89" t="s">
        <v>449</v>
      </c>
      <c r="B569" s="290">
        <v>102</v>
      </c>
      <c r="C569" s="289">
        <v>266</v>
      </c>
      <c r="D569" s="105">
        <f t="shared" si="8"/>
        <v>2.6080000000000001</v>
      </c>
      <c r="E569" s="89"/>
    </row>
    <row r="570" spans="1:5">
      <c r="A570" s="89" t="s">
        <v>450</v>
      </c>
      <c r="B570" s="290">
        <v>503104</v>
      </c>
      <c r="C570" s="289">
        <v>434771</v>
      </c>
      <c r="D570" s="105">
        <f t="shared" si="8"/>
        <v>0.86399999999999999</v>
      </c>
      <c r="E570" s="89"/>
    </row>
    <row r="571" spans="1:5">
      <c r="A571" s="89" t="s">
        <v>451</v>
      </c>
      <c r="B571" s="290">
        <v>112538</v>
      </c>
      <c r="C571" s="289">
        <v>20380</v>
      </c>
      <c r="D571" s="105">
        <f t="shared" si="8"/>
        <v>0.18099999999999999</v>
      </c>
      <c r="E571" s="89"/>
    </row>
    <row r="572" spans="1:5">
      <c r="A572" s="89" t="s">
        <v>452</v>
      </c>
      <c r="B572" s="290">
        <v>108021</v>
      </c>
      <c r="C572" s="289">
        <v>92692</v>
      </c>
      <c r="D572" s="105">
        <f t="shared" si="8"/>
        <v>0.85799999999999998</v>
      </c>
      <c r="E572" s="93"/>
    </row>
    <row r="573" spans="1:5">
      <c r="A573" s="89" t="s">
        <v>453</v>
      </c>
      <c r="B573" s="290">
        <v>5556</v>
      </c>
      <c r="C573" s="289">
        <v>3500</v>
      </c>
      <c r="D573" s="105">
        <f t="shared" si="8"/>
        <v>0.63</v>
      </c>
      <c r="E573" s="93"/>
    </row>
    <row r="574" spans="1:5">
      <c r="A574" s="89" t="s">
        <v>454</v>
      </c>
      <c r="B574" s="290">
        <v>23032</v>
      </c>
      <c r="C574" s="289">
        <v>26667</v>
      </c>
      <c r="D574" s="105">
        <f t="shared" si="8"/>
        <v>1.1579999999999999</v>
      </c>
      <c r="E574" s="93"/>
    </row>
    <row r="575" spans="1:5">
      <c r="A575" s="89" t="s">
        <v>455</v>
      </c>
      <c r="B575" s="290">
        <v>180</v>
      </c>
      <c r="C575" s="289">
        <v>180</v>
      </c>
      <c r="D575" s="105">
        <f t="shared" si="8"/>
        <v>1</v>
      </c>
      <c r="E575" s="89"/>
    </row>
    <row r="576" spans="1:5">
      <c r="A576" s="89" t="s">
        <v>456</v>
      </c>
      <c r="B576" s="290">
        <v>29512</v>
      </c>
      <c r="C576" s="291">
        <v>22398</v>
      </c>
      <c r="D576" s="105">
        <f t="shared" si="8"/>
        <v>0.75900000000000001</v>
      </c>
      <c r="E576" s="89"/>
    </row>
    <row r="577" spans="1:5">
      <c r="A577" s="89" t="s">
        <v>457</v>
      </c>
      <c r="B577" s="290">
        <v>28876</v>
      </c>
      <c r="C577" s="289">
        <v>25906</v>
      </c>
      <c r="D577" s="105">
        <f t="shared" si="8"/>
        <v>0.89700000000000002</v>
      </c>
      <c r="E577" s="89"/>
    </row>
    <row r="578" spans="1:5">
      <c r="A578" s="89" t="s">
        <v>458</v>
      </c>
      <c r="B578" s="290">
        <v>15272</v>
      </c>
      <c r="C578" s="291">
        <v>10408</v>
      </c>
      <c r="D578" s="105">
        <f t="shared" si="8"/>
        <v>0.68200000000000005</v>
      </c>
      <c r="E578" s="89"/>
    </row>
    <row r="579" spans="1:5">
      <c r="A579" s="89" t="s">
        <v>459</v>
      </c>
      <c r="B579" s="290">
        <v>5593</v>
      </c>
      <c r="C579" s="291">
        <v>3633</v>
      </c>
      <c r="D579" s="105">
        <f t="shared" si="8"/>
        <v>0.65</v>
      </c>
      <c r="E579" s="89"/>
    </row>
    <row r="580" spans="1:5">
      <c r="A580" s="89" t="s">
        <v>460</v>
      </c>
      <c r="B580" s="290">
        <v>78753</v>
      </c>
      <c r="C580" s="289">
        <v>60639</v>
      </c>
      <c r="D580" s="105">
        <f t="shared" si="8"/>
        <v>0.77</v>
      </c>
      <c r="E580" s="89"/>
    </row>
    <row r="581" spans="1:5">
      <c r="A581" s="89" t="s">
        <v>59</v>
      </c>
      <c r="B581" s="290">
        <v>13985</v>
      </c>
      <c r="C581" s="289">
        <v>13094</v>
      </c>
      <c r="D581" s="105">
        <f t="shared" ref="D581:D644" si="9">IF(B581=0,"",ROUND(C581/B581,3))</f>
        <v>0.93600000000000005</v>
      </c>
      <c r="E581" s="89"/>
    </row>
    <row r="582" spans="1:5">
      <c r="A582" s="89" t="s">
        <v>60</v>
      </c>
      <c r="B582" s="290">
        <v>1063</v>
      </c>
      <c r="C582" s="289">
        <v>922</v>
      </c>
      <c r="D582" s="105">
        <f t="shared" si="9"/>
        <v>0.86699999999999999</v>
      </c>
      <c r="E582" s="89"/>
    </row>
    <row r="583" spans="1:5">
      <c r="A583" s="89" t="s">
        <v>61</v>
      </c>
      <c r="B583" s="290">
        <v>558</v>
      </c>
      <c r="C583" s="289">
        <v>610</v>
      </c>
      <c r="D583" s="105">
        <f t="shared" si="9"/>
        <v>1.093</v>
      </c>
      <c r="E583" s="89"/>
    </row>
    <row r="584" spans="1:5">
      <c r="A584" s="89" t="s">
        <v>461</v>
      </c>
      <c r="B584" s="290">
        <v>14384</v>
      </c>
      <c r="C584" s="289">
        <v>3111</v>
      </c>
      <c r="D584" s="105">
        <f t="shared" si="9"/>
        <v>0.216</v>
      </c>
      <c r="E584" s="89"/>
    </row>
    <row r="585" spans="1:5">
      <c r="A585" s="89" t="s">
        <v>462</v>
      </c>
      <c r="B585" s="290">
        <v>4172</v>
      </c>
      <c r="C585" s="289">
        <v>2273</v>
      </c>
      <c r="D585" s="105">
        <f t="shared" si="9"/>
        <v>0.54500000000000004</v>
      </c>
      <c r="E585" s="89"/>
    </row>
    <row r="586" spans="1:5">
      <c r="A586" s="89" t="s">
        <v>463</v>
      </c>
      <c r="B586" s="290">
        <v>169</v>
      </c>
      <c r="C586" s="291">
        <v>221</v>
      </c>
      <c r="D586" s="105">
        <f t="shared" si="9"/>
        <v>1.3080000000000001</v>
      </c>
      <c r="E586" s="89"/>
    </row>
    <row r="587" spans="1:5">
      <c r="A587" s="89" t="s">
        <v>464</v>
      </c>
      <c r="B587" s="290">
        <v>27460</v>
      </c>
      <c r="C587" s="291">
        <v>29292</v>
      </c>
      <c r="D587" s="105">
        <f t="shared" si="9"/>
        <v>1.0669999999999999</v>
      </c>
      <c r="E587" s="89"/>
    </row>
    <row r="588" spans="1:5">
      <c r="A588" s="89" t="s">
        <v>465</v>
      </c>
      <c r="B588" s="290">
        <v>16962</v>
      </c>
      <c r="C588" s="289">
        <v>11116</v>
      </c>
      <c r="D588" s="105">
        <f t="shared" si="9"/>
        <v>0.65500000000000003</v>
      </c>
      <c r="E588" s="89"/>
    </row>
    <row r="589" spans="1:5">
      <c r="A589" s="89" t="s">
        <v>466</v>
      </c>
      <c r="B589" s="290">
        <v>6414</v>
      </c>
      <c r="C589" s="289">
        <v>6261</v>
      </c>
      <c r="D589" s="105">
        <f t="shared" si="9"/>
        <v>0.97599999999999998</v>
      </c>
      <c r="E589" s="89"/>
    </row>
    <row r="590" spans="1:5">
      <c r="A590" s="89" t="s">
        <v>59</v>
      </c>
      <c r="B590" s="290">
        <v>5465</v>
      </c>
      <c r="C590" s="289">
        <v>4936</v>
      </c>
      <c r="D590" s="105">
        <f t="shared" si="9"/>
        <v>0.90300000000000002</v>
      </c>
      <c r="E590" s="89"/>
    </row>
    <row r="591" spans="1:5">
      <c r="A591" s="89" t="s">
        <v>60</v>
      </c>
      <c r="B591" s="290">
        <v>507</v>
      </c>
      <c r="C591" s="289">
        <v>468</v>
      </c>
      <c r="D591" s="105">
        <f t="shared" si="9"/>
        <v>0.92300000000000004</v>
      </c>
      <c r="E591" s="89"/>
    </row>
    <row r="592" spans="1:5">
      <c r="A592" s="89" t="s">
        <v>61</v>
      </c>
      <c r="B592" s="290">
        <v>28</v>
      </c>
      <c r="C592" s="291">
        <v>0</v>
      </c>
      <c r="D592" s="105">
        <f t="shared" si="9"/>
        <v>0</v>
      </c>
      <c r="E592" s="89"/>
    </row>
    <row r="593" spans="1:5">
      <c r="A593" s="89" t="s">
        <v>467</v>
      </c>
      <c r="B593" s="290">
        <v>414</v>
      </c>
      <c r="C593" s="289">
        <v>857</v>
      </c>
      <c r="D593" s="105">
        <f t="shared" si="9"/>
        <v>2.0699999999999998</v>
      </c>
      <c r="E593" s="89"/>
    </row>
    <row r="594" spans="1:5">
      <c r="A594" s="89" t="s">
        <v>468</v>
      </c>
      <c r="B594" s="290">
        <v>107977</v>
      </c>
      <c r="C594" s="291">
        <v>42786</v>
      </c>
      <c r="D594" s="105">
        <f t="shared" si="9"/>
        <v>0.39600000000000002</v>
      </c>
      <c r="E594" s="89"/>
    </row>
    <row r="595" spans="1:5">
      <c r="A595" s="89" t="s">
        <v>469</v>
      </c>
      <c r="B595" s="290">
        <v>40470</v>
      </c>
      <c r="C595" s="291">
        <v>17922</v>
      </c>
      <c r="D595" s="105">
        <f t="shared" si="9"/>
        <v>0.443</v>
      </c>
      <c r="E595" s="89"/>
    </row>
    <row r="596" spans="1:5">
      <c r="A596" s="89" t="s">
        <v>470</v>
      </c>
      <c r="B596" s="290">
        <v>67507</v>
      </c>
      <c r="C596" s="291">
        <v>24864</v>
      </c>
      <c r="D596" s="105">
        <f t="shared" si="9"/>
        <v>0.36799999999999999</v>
      </c>
      <c r="E596" s="89"/>
    </row>
    <row r="597" spans="1:5">
      <c r="A597" s="89" t="s">
        <v>471</v>
      </c>
      <c r="B597" s="290">
        <v>38917</v>
      </c>
      <c r="C597" s="289">
        <v>11862</v>
      </c>
      <c r="D597" s="105">
        <f t="shared" si="9"/>
        <v>0.30499999999999999</v>
      </c>
      <c r="E597" s="89"/>
    </row>
    <row r="598" spans="1:5">
      <c r="A598" s="89" t="s">
        <v>472</v>
      </c>
      <c r="B598" s="290">
        <v>36377</v>
      </c>
      <c r="C598" s="291">
        <v>9191</v>
      </c>
      <c r="D598" s="105">
        <f t="shared" si="9"/>
        <v>0.253</v>
      </c>
      <c r="E598" s="89"/>
    </row>
    <row r="599" spans="1:5">
      <c r="A599" s="89" t="s">
        <v>473</v>
      </c>
      <c r="B599" s="290">
        <v>2540</v>
      </c>
      <c r="C599" s="289">
        <v>2671</v>
      </c>
      <c r="D599" s="105">
        <f t="shared" si="9"/>
        <v>1.052</v>
      </c>
      <c r="E599" s="89"/>
    </row>
    <row r="600" spans="1:5">
      <c r="A600" s="89" t="s">
        <v>474</v>
      </c>
      <c r="B600" s="290">
        <v>6369</v>
      </c>
      <c r="C600" s="291">
        <v>4330</v>
      </c>
      <c r="D600" s="105">
        <f t="shared" si="9"/>
        <v>0.68</v>
      </c>
      <c r="E600" s="89"/>
    </row>
    <row r="601" spans="1:5">
      <c r="A601" s="89" t="s">
        <v>475</v>
      </c>
      <c r="B601" s="290">
        <v>2028</v>
      </c>
      <c r="C601" s="291">
        <v>1483</v>
      </c>
      <c r="D601" s="105">
        <f t="shared" si="9"/>
        <v>0.73099999999999998</v>
      </c>
      <c r="E601" s="89"/>
    </row>
    <row r="602" spans="1:5">
      <c r="A602" s="89" t="s">
        <v>476</v>
      </c>
      <c r="B602" s="290">
        <v>4341</v>
      </c>
      <c r="C602" s="291">
        <v>2847</v>
      </c>
      <c r="D602" s="105">
        <f t="shared" si="9"/>
        <v>0.65600000000000003</v>
      </c>
      <c r="E602" s="89"/>
    </row>
    <row r="603" spans="1:5">
      <c r="A603" s="89" t="s">
        <v>477</v>
      </c>
      <c r="B603" s="292">
        <v>0</v>
      </c>
      <c r="C603" s="291">
        <v>0</v>
      </c>
      <c r="D603" s="105" t="str">
        <f t="shared" si="9"/>
        <v/>
      </c>
      <c r="E603" s="89"/>
    </row>
    <row r="604" spans="1:5">
      <c r="A604" s="89" t="s">
        <v>478</v>
      </c>
      <c r="B604" s="292">
        <v>0</v>
      </c>
      <c r="C604" s="291">
        <v>0</v>
      </c>
      <c r="D604" s="105" t="str">
        <f t="shared" si="9"/>
        <v/>
      </c>
      <c r="E604" s="89"/>
    </row>
    <row r="605" spans="1:5">
      <c r="A605" s="89" t="s">
        <v>479</v>
      </c>
      <c r="B605" s="292">
        <v>0</v>
      </c>
      <c r="C605" s="291">
        <v>0</v>
      </c>
      <c r="D605" s="105" t="str">
        <f t="shared" si="9"/>
        <v/>
      </c>
      <c r="E605" s="89"/>
    </row>
    <row r="606" spans="1:5">
      <c r="A606" s="89" t="s">
        <v>480</v>
      </c>
      <c r="B606" s="290">
        <v>6546</v>
      </c>
      <c r="C606" s="291">
        <v>1587</v>
      </c>
      <c r="D606" s="105">
        <f t="shared" si="9"/>
        <v>0.24199999999999999</v>
      </c>
      <c r="E606" s="89"/>
    </row>
    <row r="607" spans="1:5">
      <c r="A607" s="89" t="s">
        <v>481</v>
      </c>
      <c r="B607" s="290">
        <v>4698</v>
      </c>
      <c r="C607" s="291">
        <v>1409</v>
      </c>
      <c r="D607" s="105">
        <f t="shared" si="9"/>
        <v>0.3</v>
      </c>
      <c r="E607" s="89"/>
    </row>
    <row r="608" spans="1:5">
      <c r="A608" s="89" t="s">
        <v>482</v>
      </c>
      <c r="B608" s="290">
        <v>1848</v>
      </c>
      <c r="C608" s="291">
        <v>178</v>
      </c>
      <c r="D608" s="105">
        <f t="shared" si="9"/>
        <v>9.6000000000000002E-2</v>
      </c>
      <c r="E608" s="89"/>
    </row>
    <row r="609" spans="1:5">
      <c r="A609" s="89" t="s">
        <v>483</v>
      </c>
      <c r="B609" s="290">
        <v>1183979</v>
      </c>
      <c r="C609" s="289">
        <v>1195295</v>
      </c>
      <c r="D609" s="105">
        <f t="shared" si="9"/>
        <v>1.01</v>
      </c>
      <c r="E609" s="89"/>
    </row>
    <row r="610" spans="1:5">
      <c r="A610" s="89" t="s">
        <v>484</v>
      </c>
      <c r="B610" s="290">
        <v>913794</v>
      </c>
      <c r="C610" s="289">
        <v>961888</v>
      </c>
      <c r="D610" s="105">
        <f t="shared" si="9"/>
        <v>1.0529999999999999</v>
      </c>
      <c r="E610" s="89"/>
    </row>
    <row r="611" spans="1:5">
      <c r="A611" s="89" t="s">
        <v>485</v>
      </c>
      <c r="B611" s="290">
        <v>258633</v>
      </c>
      <c r="C611" s="289">
        <v>215953</v>
      </c>
      <c r="D611" s="105">
        <f t="shared" si="9"/>
        <v>0.83499999999999996</v>
      </c>
      <c r="E611" s="89"/>
    </row>
    <row r="612" spans="1:5">
      <c r="A612" s="89" t="s">
        <v>486</v>
      </c>
      <c r="B612" s="290">
        <v>11552</v>
      </c>
      <c r="C612" s="291">
        <v>17454</v>
      </c>
      <c r="D612" s="105">
        <f t="shared" si="9"/>
        <v>1.5109999999999999</v>
      </c>
      <c r="E612" s="89"/>
    </row>
    <row r="613" spans="1:5">
      <c r="A613" s="89" t="s">
        <v>487</v>
      </c>
      <c r="B613" s="290">
        <v>3811</v>
      </c>
      <c r="C613" s="291">
        <v>28007</v>
      </c>
      <c r="D613" s="105">
        <f t="shared" si="9"/>
        <v>7.3490000000000002</v>
      </c>
      <c r="E613" s="89"/>
    </row>
    <row r="614" spans="1:5">
      <c r="A614" s="89" t="s">
        <v>488</v>
      </c>
      <c r="B614" s="290">
        <v>197</v>
      </c>
      <c r="C614" s="291">
        <v>212</v>
      </c>
      <c r="D614" s="105">
        <f t="shared" si="9"/>
        <v>1.0760000000000001</v>
      </c>
      <c r="E614" s="89"/>
    </row>
    <row r="615" spans="1:5">
      <c r="A615" s="89" t="s">
        <v>489</v>
      </c>
      <c r="B615" s="290">
        <v>0</v>
      </c>
      <c r="C615" s="291">
        <v>0</v>
      </c>
      <c r="D615" s="105" t="str">
        <f t="shared" si="9"/>
        <v/>
      </c>
      <c r="E615" s="89"/>
    </row>
    <row r="616" spans="1:5">
      <c r="A616" s="89" t="s">
        <v>490</v>
      </c>
      <c r="B616" s="290">
        <v>3614</v>
      </c>
      <c r="C616" s="291">
        <v>27795</v>
      </c>
      <c r="D616" s="105">
        <f t="shared" si="9"/>
        <v>7.6909999999999998</v>
      </c>
      <c r="E616" s="89"/>
    </row>
    <row r="617" spans="1:5">
      <c r="A617" s="94" t="s">
        <v>491</v>
      </c>
      <c r="B617" s="290">
        <v>29204</v>
      </c>
      <c r="C617" s="289">
        <v>23924</v>
      </c>
      <c r="D617" s="105">
        <f t="shared" si="9"/>
        <v>0.81899999999999995</v>
      </c>
      <c r="E617" s="89"/>
    </row>
    <row r="618" spans="1:5">
      <c r="A618" s="89" t="s">
        <v>59</v>
      </c>
      <c r="B618" s="290">
        <v>15114</v>
      </c>
      <c r="C618" s="289">
        <v>15445</v>
      </c>
      <c r="D618" s="105">
        <f t="shared" si="9"/>
        <v>1.022</v>
      </c>
      <c r="E618" s="93"/>
    </row>
    <row r="619" spans="1:5">
      <c r="A619" s="89" t="s">
        <v>60</v>
      </c>
      <c r="B619" s="290">
        <v>1937</v>
      </c>
      <c r="C619" s="291">
        <v>834</v>
      </c>
      <c r="D619" s="105">
        <f t="shared" si="9"/>
        <v>0.43099999999999999</v>
      </c>
      <c r="E619" s="89"/>
    </row>
    <row r="620" spans="1:5">
      <c r="A620" s="89" t="s">
        <v>61</v>
      </c>
      <c r="B620" s="290">
        <v>7</v>
      </c>
      <c r="C620" s="289">
        <v>54</v>
      </c>
      <c r="D620" s="105">
        <f t="shared" si="9"/>
        <v>7.7140000000000004</v>
      </c>
      <c r="E620" s="89"/>
    </row>
    <row r="621" spans="1:5">
      <c r="A621" s="89" t="s">
        <v>492</v>
      </c>
      <c r="B621" s="290">
        <v>4145</v>
      </c>
      <c r="C621" s="291">
        <v>2282</v>
      </c>
      <c r="D621" s="105">
        <f t="shared" si="9"/>
        <v>0.55100000000000005</v>
      </c>
      <c r="E621" s="89"/>
    </row>
    <row r="622" spans="1:5">
      <c r="A622" s="89" t="s">
        <v>493</v>
      </c>
      <c r="B622" s="290">
        <v>837</v>
      </c>
      <c r="C622" s="291">
        <v>856</v>
      </c>
      <c r="D622" s="105">
        <f t="shared" si="9"/>
        <v>1.0229999999999999</v>
      </c>
      <c r="E622" s="89"/>
    </row>
    <row r="623" spans="1:5">
      <c r="A623" s="89" t="s">
        <v>68</v>
      </c>
      <c r="B623" s="290">
        <v>923</v>
      </c>
      <c r="C623" s="289">
        <v>1132</v>
      </c>
      <c r="D623" s="105">
        <f t="shared" si="9"/>
        <v>1.226</v>
      </c>
      <c r="E623" s="89"/>
    </row>
    <row r="624" spans="1:5">
      <c r="A624" s="89" t="s">
        <v>494</v>
      </c>
      <c r="B624" s="290">
        <v>6241</v>
      </c>
      <c r="C624" s="289">
        <v>3321</v>
      </c>
      <c r="D624" s="105">
        <f t="shared" si="9"/>
        <v>0.53200000000000003</v>
      </c>
      <c r="E624" s="89"/>
    </row>
    <row r="625" spans="1:5">
      <c r="A625" s="89" t="s">
        <v>495</v>
      </c>
      <c r="B625" s="290">
        <v>4040</v>
      </c>
      <c r="C625" s="291">
        <v>253</v>
      </c>
      <c r="D625" s="105">
        <f t="shared" si="9"/>
        <v>6.3E-2</v>
      </c>
      <c r="E625" s="89"/>
    </row>
    <row r="626" spans="1:5">
      <c r="A626" s="89" t="s">
        <v>496</v>
      </c>
      <c r="B626" s="290">
        <v>3407</v>
      </c>
      <c r="C626" s="291">
        <v>189</v>
      </c>
      <c r="D626" s="105">
        <f t="shared" si="9"/>
        <v>5.5E-2</v>
      </c>
      <c r="E626" s="89"/>
    </row>
    <row r="627" spans="1:5">
      <c r="A627" s="89" t="s">
        <v>497</v>
      </c>
      <c r="B627" s="290">
        <v>633</v>
      </c>
      <c r="C627" s="291">
        <v>64</v>
      </c>
      <c r="D627" s="105">
        <f t="shared" si="9"/>
        <v>0.10100000000000001</v>
      </c>
      <c r="E627" s="89"/>
    </row>
    <row r="628" spans="1:5">
      <c r="A628" s="89" t="s">
        <v>498</v>
      </c>
      <c r="B628" s="290">
        <v>795260</v>
      </c>
      <c r="C628" s="289">
        <v>587455</v>
      </c>
      <c r="D628" s="105">
        <f t="shared" si="9"/>
        <v>0.73899999999999999</v>
      </c>
      <c r="E628" s="89"/>
    </row>
    <row r="629" spans="1:5">
      <c r="A629" s="89" t="s">
        <v>499</v>
      </c>
      <c r="B629" s="290">
        <v>4716567</v>
      </c>
      <c r="C629" s="289">
        <v>3436121</v>
      </c>
      <c r="D629" s="105">
        <f t="shared" si="9"/>
        <v>0.72899999999999998</v>
      </c>
      <c r="E629" s="89"/>
    </row>
    <row r="630" spans="1:5">
      <c r="A630" s="89" t="s">
        <v>500</v>
      </c>
      <c r="B630" s="290">
        <v>115526</v>
      </c>
      <c r="C630" s="289">
        <v>101361</v>
      </c>
      <c r="D630" s="105">
        <f t="shared" si="9"/>
        <v>0.877</v>
      </c>
      <c r="E630" s="89"/>
    </row>
    <row r="631" spans="1:5">
      <c r="A631" s="89" t="s">
        <v>59</v>
      </c>
      <c r="B631" s="290">
        <v>72841</v>
      </c>
      <c r="C631" s="289">
        <v>64772</v>
      </c>
      <c r="D631" s="105">
        <f t="shared" si="9"/>
        <v>0.88900000000000001</v>
      </c>
      <c r="E631" s="89"/>
    </row>
    <row r="632" spans="1:5">
      <c r="A632" s="89" t="s">
        <v>60</v>
      </c>
      <c r="B632" s="290">
        <v>8650</v>
      </c>
      <c r="C632" s="289">
        <v>12959</v>
      </c>
      <c r="D632" s="105">
        <f t="shared" si="9"/>
        <v>1.498</v>
      </c>
      <c r="E632" s="89"/>
    </row>
    <row r="633" spans="1:5">
      <c r="A633" s="89" t="s">
        <v>61</v>
      </c>
      <c r="B633" s="290">
        <v>1229</v>
      </c>
      <c r="C633" s="289">
        <v>470</v>
      </c>
      <c r="D633" s="105">
        <f t="shared" si="9"/>
        <v>0.38200000000000001</v>
      </c>
      <c r="E633" s="89"/>
    </row>
    <row r="634" spans="1:5">
      <c r="A634" s="89" t="s">
        <v>501</v>
      </c>
      <c r="B634" s="290">
        <v>32806</v>
      </c>
      <c r="C634" s="289">
        <v>23160</v>
      </c>
      <c r="D634" s="105">
        <f t="shared" si="9"/>
        <v>0.70599999999999996</v>
      </c>
      <c r="E634" s="89"/>
    </row>
    <row r="635" spans="1:5">
      <c r="A635" s="89" t="s">
        <v>502</v>
      </c>
      <c r="B635" s="290">
        <v>726051</v>
      </c>
      <c r="C635" s="289">
        <v>683136</v>
      </c>
      <c r="D635" s="105">
        <f t="shared" si="9"/>
        <v>0.94099999999999995</v>
      </c>
      <c r="E635" s="89"/>
    </row>
    <row r="636" spans="1:5">
      <c r="A636" s="89" t="s">
        <v>503</v>
      </c>
      <c r="B636" s="290">
        <v>454724</v>
      </c>
      <c r="C636" s="289">
        <v>400202</v>
      </c>
      <c r="D636" s="105">
        <f t="shared" si="9"/>
        <v>0.88</v>
      </c>
      <c r="E636" s="89"/>
    </row>
    <row r="637" spans="1:5">
      <c r="A637" s="89" t="s">
        <v>504</v>
      </c>
      <c r="B637" s="290">
        <v>84983</v>
      </c>
      <c r="C637" s="289">
        <v>76362</v>
      </c>
      <c r="D637" s="105">
        <f t="shared" si="9"/>
        <v>0.89900000000000002</v>
      </c>
      <c r="E637" s="89"/>
    </row>
    <row r="638" spans="1:5">
      <c r="A638" s="89" t="s">
        <v>505</v>
      </c>
      <c r="B638" s="290">
        <v>8586</v>
      </c>
      <c r="C638" s="289">
        <v>11229</v>
      </c>
      <c r="D638" s="105">
        <f t="shared" si="9"/>
        <v>1.3080000000000001</v>
      </c>
      <c r="E638" s="89"/>
    </row>
    <row r="639" spans="1:5">
      <c r="A639" s="89" t="s">
        <v>506</v>
      </c>
      <c r="B639" s="290">
        <v>1077</v>
      </c>
      <c r="C639" s="289">
        <v>1077</v>
      </c>
      <c r="D639" s="105">
        <f t="shared" si="9"/>
        <v>1</v>
      </c>
      <c r="E639" s="93"/>
    </row>
    <row r="640" spans="1:5">
      <c r="A640" s="89" t="s">
        <v>507</v>
      </c>
      <c r="B640" s="290">
        <v>8433</v>
      </c>
      <c r="C640" s="289">
        <v>6049</v>
      </c>
      <c r="D640" s="105">
        <f t="shared" si="9"/>
        <v>0.71699999999999997</v>
      </c>
      <c r="E640" s="93"/>
    </row>
    <row r="641" spans="1:5">
      <c r="A641" s="89" t="s">
        <v>508</v>
      </c>
      <c r="B641" s="290">
        <v>2278</v>
      </c>
      <c r="C641" s="289">
        <v>2747</v>
      </c>
      <c r="D641" s="105">
        <f t="shared" si="9"/>
        <v>1.206</v>
      </c>
      <c r="E641" s="93"/>
    </row>
    <row r="642" spans="1:5">
      <c r="A642" s="89" t="s">
        <v>509</v>
      </c>
      <c r="B642" s="290">
        <v>2400</v>
      </c>
      <c r="C642" s="289">
        <v>2000</v>
      </c>
      <c r="D642" s="105">
        <f t="shared" si="9"/>
        <v>0.83299999999999996</v>
      </c>
      <c r="E642" s="89"/>
    </row>
    <row r="643" spans="1:5">
      <c r="A643" s="89" t="s">
        <v>510</v>
      </c>
      <c r="B643" s="290">
        <v>6182</v>
      </c>
      <c r="C643" s="289">
        <v>7817</v>
      </c>
      <c r="D643" s="105">
        <f t="shared" si="9"/>
        <v>1.264</v>
      </c>
      <c r="E643" s="89"/>
    </row>
    <row r="644" spans="1:5">
      <c r="A644" s="89" t="s">
        <v>511</v>
      </c>
      <c r="B644" s="290">
        <v>0</v>
      </c>
      <c r="C644" s="291">
        <v>268</v>
      </c>
      <c r="D644" s="105" t="str">
        <f t="shared" si="9"/>
        <v/>
      </c>
      <c r="E644" s="89"/>
    </row>
    <row r="645" spans="1:5">
      <c r="A645" s="89" t="s">
        <v>512</v>
      </c>
      <c r="B645" s="290">
        <v>0</v>
      </c>
      <c r="C645" s="291">
        <v>0</v>
      </c>
      <c r="D645" s="105" t="str">
        <f t="shared" ref="D645:D708" si="10">IF(B645=0,"",ROUND(C645/B645,3))</f>
        <v/>
      </c>
      <c r="E645" s="89"/>
    </row>
    <row r="646" spans="1:5">
      <c r="A646" s="89" t="s">
        <v>513</v>
      </c>
      <c r="B646" s="290">
        <v>0</v>
      </c>
      <c r="C646" s="291">
        <v>0</v>
      </c>
      <c r="D646" s="105" t="str">
        <f t="shared" si="10"/>
        <v/>
      </c>
      <c r="E646" s="89"/>
    </row>
    <row r="647" spans="1:5">
      <c r="A647" s="89" t="s">
        <v>514</v>
      </c>
      <c r="B647" s="290">
        <v>0</v>
      </c>
      <c r="C647" s="291">
        <v>0</v>
      </c>
      <c r="D647" s="105" t="str">
        <f t="shared" si="10"/>
        <v/>
      </c>
      <c r="E647" s="89"/>
    </row>
    <row r="648" spans="1:5">
      <c r="A648" s="89" t="s">
        <v>515</v>
      </c>
      <c r="B648" s="290">
        <v>157388</v>
      </c>
      <c r="C648" s="289">
        <v>175385</v>
      </c>
      <c r="D648" s="105">
        <f t="shared" si="10"/>
        <v>1.1140000000000001</v>
      </c>
      <c r="E648" s="89"/>
    </row>
    <row r="649" spans="1:5">
      <c r="A649" s="89" t="s">
        <v>516</v>
      </c>
      <c r="B649" s="290">
        <v>392530</v>
      </c>
      <c r="C649" s="299">
        <v>315116</v>
      </c>
      <c r="D649" s="105">
        <f t="shared" si="10"/>
        <v>0.80300000000000005</v>
      </c>
      <c r="E649" s="93"/>
    </row>
    <row r="650" spans="1:5">
      <c r="A650" s="89" t="s">
        <v>517</v>
      </c>
      <c r="B650" s="290">
        <v>51309</v>
      </c>
      <c r="C650" s="299">
        <v>47792</v>
      </c>
      <c r="D650" s="105">
        <f t="shared" si="10"/>
        <v>0.93100000000000005</v>
      </c>
      <c r="E650" s="93"/>
    </row>
    <row r="651" spans="1:5">
      <c r="A651" s="89" t="s">
        <v>518</v>
      </c>
      <c r="B651" s="290">
        <v>298999</v>
      </c>
      <c r="C651" s="299">
        <v>244832</v>
      </c>
      <c r="D651" s="105">
        <f t="shared" si="10"/>
        <v>0.81899999999999995</v>
      </c>
      <c r="E651" s="93"/>
    </row>
    <row r="652" spans="1:5">
      <c r="A652" s="89" t="s">
        <v>519</v>
      </c>
      <c r="B652" s="290">
        <v>42222</v>
      </c>
      <c r="C652" s="299">
        <v>22492</v>
      </c>
      <c r="D652" s="105">
        <f t="shared" si="10"/>
        <v>0.53300000000000003</v>
      </c>
      <c r="E652" s="93"/>
    </row>
    <row r="653" spans="1:5">
      <c r="A653" s="89" t="s">
        <v>520</v>
      </c>
      <c r="B653" s="290">
        <v>1658144</v>
      </c>
      <c r="C653" s="289">
        <v>725810</v>
      </c>
      <c r="D653" s="105">
        <f t="shared" si="10"/>
        <v>0.438</v>
      </c>
      <c r="E653" s="93"/>
    </row>
    <row r="654" spans="1:5">
      <c r="A654" s="89" t="s">
        <v>521</v>
      </c>
      <c r="B654" s="290">
        <v>82570</v>
      </c>
      <c r="C654" s="289">
        <v>73696</v>
      </c>
      <c r="D654" s="105">
        <f t="shared" si="10"/>
        <v>0.89300000000000002</v>
      </c>
      <c r="E654" s="93"/>
    </row>
    <row r="655" spans="1:5">
      <c r="A655" s="89" t="s">
        <v>522</v>
      </c>
      <c r="B655" s="290">
        <v>11750</v>
      </c>
      <c r="C655" s="289">
        <v>11111</v>
      </c>
      <c r="D655" s="105">
        <f t="shared" si="10"/>
        <v>0.94599999999999995</v>
      </c>
      <c r="E655" s="93"/>
    </row>
    <row r="656" spans="1:5">
      <c r="A656" s="89" t="s">
        <v>523</v>
      </c>
      <c r="B656" s="290">
        <v>61617</v>
      </c>
      <c r="C656" s="289">
        <v>57382</v>
      </c>
      <c r="D656" s="105">
        <f t="shared" si="10"/>
        <v>0.93100000000000005</v>
      </c>
      <c r="E656" s="93"/>
    </row>
    <row r="657" spans="1:5">
      <c r="A657" s="89" t="s">
        <v>524</v>
      </c>
      <c r="B657" s="290">
        <v>15</v>
      </c>
      <c r="C657" s="299">
        <v>29</v>
      </c>
      <c r="D657" s="105">
        <f t="shared" si="10"/>
        <v>1.9330000000000001</v>
      </c>
      <c r="E657" s="93"/>
    </row>
    <row r="658" spans="1:5">
      <c r="A658" s="89" t="s">
        <v>525</v>
      </c>
      <c r="B658" s="290">
        <v>2891</v>
      </c>
      <c r="C658" s="291">
        <v>5907</v>
      </c>
      <c r="D658" s="105">
        <f t="shared" si="10"/>
        <v>2.0430000000000001</v>
      </c>
      <c r="E658" s="89"/>
    </row>
    <row r="659" spans="1:5">
      <c r="A659" s="89" t="s">
        <v>526</v>
      </c>
      <c r="B659" s="290">
        <v>12763</v>
      </c>
      <c r="C659" s="291">
        <v>13066</v>
      </c>
      <c r="D659" s="105">
        <f t="shared" si="10"/>
        <v>1.024</v>
      </c>
      <c r="E659" s="89"/>
    </row>
    <row r="660" spans="1:5">
      <c r="A660" s="89" t="s">
        <v>527</v>
      </c>
      <c r="B660" s="290">
        <v>781</v>
      </c>
      <c r="C660" s="289">
        <v>1001</v>
      </c>
      <c r="D660" s="105">
        <f t="shared" si="10"/>
        <v>1.282</v>
      </c>
      <c r="E660" s="89"/>
    </row>
    <row r="661" spans="1:5">
      <c r="A661" s="89" t="s">
        <v>528</v>
      </c>
      <c r="B661" s="290">
        <v>167713</v>
      </c>
      <c r="C661" s="289">
        <v>141550</v>
      </c>
      <c r="D661" s="105">
        <f t="shared" si="10"/>
        <v>0.84399999999999997</v>
      </c>
      <c r="E661" s="89"/>
    </row>
    <row r="662" spans="1:5">
      <c r="A662" s="89" t="s">
        <v>529</v>
      </c>
      <c r="B662" s="290">
        <v>78703</v>
      </c>
      <c r="C662" s="289">
        <v>60103</v>
      </c>
      <c r="D662" s="105">
        <f t="shared" si="10"/>
        <v>0.76400000000000001</v>
      </c>
      <c r="E662" s="89"/>
    </row>
    <row r="663" spans="1:5">
      <c r="A663" s="89" t="s">
        <v>530</v>
      </c>
      <c r="B663" s="290">
        <v>1156816</v>
      </c>
      <c r="C663" s="289">
        <v>308244</v>
      </c>
      <c r="D663" s="105">
        <f t="shared" si="10"/>
        <v>0.26600000000000001</v>
      </c>
      <c r="E663" s="89"/>
    </row>
    <row r="664" spans="1:5">
      <c r="A664" s="89" t="s">
        <v>531</v>
      </c>
      <c r="B664" s="290">
        <v>82525</v>
      </c>
      <c r="C664" s="289">
        <v>53721</v>
      </c>
      <c r="D664" s="105">
        <f t="shared" si="10"/>
        <v>0.65100000000000002</v>
      </c>
      <c r="E664" s="89"/>
    </row>
    <row r="665" spans="1:5">
      <c r="A665" s="89" t="s">
        <v>532</v>
      </c>
      <c r="B665" s="290">
        <v>6731</v>
      </c>
      <c r="C665" s="289">
        <v>11796</v>
      </c>
      <c r="D665" s="105">
        <f t="shared" si="10"/>
        <v>1.752</v>
      </c>
      <c r="E665" s="89"/>
    </row>
    <row r="666" spans="1:5">
      <c r="A666" s="89" t="s">
        <v>533</v>
      </c>
      <c r="B666" s="290">
        <v>6306</v>
      </c>
      <c r="C666" s="289">
        <v>6893</v>
      </c>
      <c r="D666" s="105">
        <f t="shared" si="10"/>
        <v>1.093</v>
      </c>
      <c r="E666" s="89"/>
    </row>
    <row r="667" spans="1:5">
      <c r="A667" s="89" t="s">
        <v>534</v>
      </c>
      <c r="B667" s="290">
        <v>425</v>
      </c>
      <c r="C667" s="291">
        <v>4903</v>
      </c>
      <c r="D667" s="105">
        <f t="shared" si="10"/>
        <v>11.536</v>
      </c>
      <c r="E667" s="89"/>
    </row>
    <row r="668" spans="1:5">
      <c r="A668" s="89" t="s">
        <v>535</v>
      </c>
      <c r="B668" s="290">
        <v>160943</v>
      </c>
      <c r="C668" s="289">
        <v>122610</v>
      </c>
      <c r="D668" s="105">
        <f t="shared" si="10"/>
        <v>0.76200000000000001</v>
      </c>
      <c r="E668" s="89"/>
    </row>
    <row r="669" spans="1:5">
      <c r="A669" s="89" t="s">
        <v>536</v>
      </c>
      <c r="B669" s="290">
        <v>14921</v>
      </c>
      <c r="C669" s="289">
        <v>14661</v>
      </c>
      <c r="D669" s="105">
        <f t="shared" si="10"/>
        <v>0.98299999999999998</v>
      </c>
      <c r="E669" s="89"/>
    </row>
    <row r="670" spans="1:5">
      <c r="A670" s="89" t="s">
        <v>537</v>
      </c>
      <c r="B670" s="290">
        <v>43152</v>
      </c>
      <c r="C670" s="289">
        <v>75385</v>
      </c>
      <c r="D670" s="105">
        <f t="shared" si="10"/>
        <v>1.7470000000000001</v>
      </c>
      <c r="E670" s="89"/>
    </row>
    <row r="671" spans="1:5">
      <c r="A671" s="89" t="s">
        <v>538</v>
      </c>
      <c r="B671" s="290">
        <v>102870</v>
      </c>
      <c r="C671" s="289">
        <v>32564</v>
      </c>
      <c r="D671" s="105">
        <f t="shared" si="10"/>
        <v>0.317</v>
      </c>
      <c r="E671" s="89"/>
    </row>
    <row r="672" spans="1:5">
      <c r="A672" s="89" t="s">
        <v>539</v>
      </c>
      <c r="B672" s="290">
        <v>274139</v>
      </c>
      <c r="C672" s="289">
        <v>330257</v>
      </c>
      <c r="D672" s="105">
        <f t="shared" si="10"/>
        <v>1.2050000000000001</v>
      </c>
      <c r="E672" s="89"/>
    </row>
    <row r="673" spans="1:5">
      <c r="A673" s="89" t="s">
        <v>540</v>
      </c>
      <c r="B673" s="290">
        <v>113881</v>
      </c>
      <c r="C673" s="289">
        <v>137695</v>
      </c>
      <c r="D673" s="105">
        <f t="shared" si="10"/>
        <v>1.2090000000000001</v>
      </c>
      <c r="E673" s="89"/>
    </row>
    <row r="674" spans="1:5">
      <c r="A674" s="89" t="s">
        <v>541</v>
      </c>
      <c r="B674" s="290">
        <v>95122</v>
      </c>
      <c r="C674" s="289">
        <v>115086</v>
      </c>
      <c r="D674" s="105">
        <f t="shared" si="10"/>
        <v>1.21</v>
      </c>
      <c r="E674" s="89"/>
    </row>
    <row r="675" spans="1:5">
      <c r="A675" s="89" t="s">
        <v>542</v>
      </c>
      <c r="B675" s="290">
        <v>61106</v>
      </c>
      <c r="C675" s="289">
        <v>67273</v>
      </c>
      <c r="D675" s="105">
        <f t="shared" si="10"/>
        <v>1.101</v>
      </c>
      <c r="E675" s="89"/>
    </row>
    <row r="676" spans="1:5">
      <c r="A676" s="89" t="s">
        <v>543</v>
      </c>
      <c r="B676" s="290">
        <v>4030</v>
      </c>
      <c r="C676" s="289">
        <v>10203</v>
      </c>
      <c r="D676" s="105">
        <f t="shared" si="10"/>
        <v>2.532</v>
      </c>
      <c r="E676" s="89"/>
    </row>
    <row r="677" spans="1:5">
      <c r="A677" s="89" t="s">
        <v>544</v>
      </c>
      <c r="B677" s="290">
        <v>973153</v>
      </c>
      <c r="C677" s="289">
        <v>868156</v>
      </c>
      <c r="D677" s="105">
        <f t="shared" si="10"/>
        <v>0.89200000000000002</v>
      </c>
      <c r="E677" s="89"/>
    </row>
    <row r="678" spans="1:5">
      <c r="A678" s="89" t="s">
        <v>545</v>
      </c>
      <c r="B678" s="290">
        <v>239</v>
      </c>
      <c r="C678" s="291">
        <v>13994</v>
      </c>
      <c r="D678" s="105">
        <f t="shared" si="10"/>
        <v>58.552</v>
      </c>
      <c r="E678" s="89"/>
    </row>
    <row r="679" spans="1:5">
      <c r="A679" s="89" t="s">
        <v>546</v>
      </c>
      <c r="B679" s="290">
        <v>952433</v>
      </c>
      <c r="C679" s="291">
        <v>837929</v>
      </c>
      <c r="D679" s="105">
        <f t="shared" si="10"/>
        <v>0.88</v>
      </c>
      <c r="E679" s="89"/>
    </row>
    <row r="680" spans="1:5">
      <c r="A680" s="89" t="s">
        <v>547</v>
      </c>
      <c r="B680" s="290">
        <v>20481</v>
      </c>
      <c r="C680" s="289">
        <v>16233</v>
      </c>
      <c r="D680" s="105">
        <f t="shared" si="10"/>
        <v>0.79300000000000004</v>
      </c>
      <c r="E680" s="89"/>
    </row>
    <row r="681" spans="1:5">
      <c r="A681" s="89" t="s">
        <v>548</v>
      </c>
      <c r="B681" s="290">
        <v>220020</v>
      </c>
      <c r="C681" s="289">
        <v>127987</v>
      </c>
      <c r="D681" s="105">
        <f t="shared" si="10"/>
        <v>0.58199999999999996</v>
      </c>
      <c r="E681" s="89"/>
    </row>
    <row r="682" spans="1:5">
      <c r="A682" s="89" t="s">
        <v>549</v>
      </c>
      <c r="B682" s="290">
        <v>184718</v>
      </c>
      <c r="C682" s="291">
        <v>49721</v>
      </c>
      <c r="D682" s="105">
        <f t="shared" si="10"/>
        <v>0.26900000000000002</v>
      </c>
      <c r="E682" s="89"/>
    </row>
    <row r="683" spans="1:5">
      <c r="A683" s="89" t="s">
        <v>550</v>
      </c>
      <c r="B683" s="290">
        <v>1626</v>
      </c>
      <c r="C683" s="289">
        <v>1168</v>
      </c>
      <c r="D683" s="105">
        <f t="shared" si="10"/>
        <v>0.71799999999999997</v>
      </c>
      <c r="E683" s="89"/>
    </row>
    <row r="684" spans="1:5">
      <c r="A684" s="89" t="s">
        <v>551</v>
      </c>
      <c r="B684" s="290">
        <v>33676</v>
      </c>
      <c r="C684" s="291">
        <v>77098</v>
      </c>
      <c r="D684" s="105">
        <f t="shared" si="10"/>
        <v>2.2890000000000001</v>
      </c>
      <c r="E684" s="89"/>
    </row>
    <row r="685" spans="1:5">
      <c r="A685" s="89" t="s">
        <v>552</v>
      </c>
      <c r="B685" s="290">
        <v>1969</v>
      </c>
      <c r="C685" s="289">
        <v>1658</v>
      </c>
      <c r="D685" s="105">
        <f t="shared" si="10"/>
        <v>0.84199999999999997</v>
      </c>
      <c r="E685" s="89"/>
    </row>
    <row r="686" spans="1:5">
      <c r="A686" s="89" t="s">
        <v>553</v>
      </c>
      <c r="B686" s="290">
        <v>1969</v>
      </c>
      <c r="C686" s="289">
        <v>1493</v>
      </c>
      <c r="D686" s="105">
        <f t="shared" si="10"/>
        <v>0.75800000000000001</v>
      </c>
      <c r="E686" s="89"/>
    </row>
    <row r="687" spans="1:5">
      <c r="A687" s="89" t="s">
        <v>554</v>
      </c>
      <c r="B687" s="290">
        <v>0</v>
      </c>
      <c r="C687" s="291">
        <v>165</v>
      </c>
      <c r="D687" s="105" t="str">
        <f t="shared" si="10"/>
        <v/>
      </c>
      <c r="E687" s="89"/>
    </row>
    <row r="688" spans="1:5">
      <c r="A688" s="89" t="s">
        <v>555</v>
      </c>
      <c r="B688" s="290">
        <v>46661</v>
      </c>
      <c r="C688" s="289">
        <v>59794</v>
      </c>
      <c r="D688" s="105">
        <f t="shared" si="10"/>
        <v>1.2809999999999999</v>
      </c>
      <c r="E688" s="89"/>
    </row>
    <row r="689" spans="1:5">
      <c r="A689" s="89" t="s">
        <v>59</v>
      </c>
      <c r="B689" s="290">
        <v>21086</v>
      </c>
      <c r="C689" s="289">
        <v>20154</v>
      </c>
      <c r="D689" s="105">
        <f t="shared" si="10"/>
        <v>0.95599999999999996</v>
      </c>
      <c r="E689" s="89"/>
    </row>
    <row r="690" spans="1:5">
      <c r="A690" s="89" t="s">
        <v>60</v>
      </c>
      <c r="B690" s="290">
        <v>1913</v>
      </c>
      <c r="C690" s="291">
        <v>1188</v>
      </c>
      <c r="D690" s="105">
        <f t="shared" si="10"/>
        <v>0.621</v>
      </c>
      <c r="E690" s="89"/>
    </row>
    <row r="691" spans="1:5">
      <c r="A691" s="89" t="s">
        <v>61</v>
      </c>
      <c r="B691" s="290">
        <v>0</v>
      </c>
      <c r="C691" s="291">
        <v>0</v>
      </c>
      <c r="D691" s="105" t="str">
        <f t="shared" si="10"/>
        <v/>
      </c>
      <c r="E691" s="89"/>
    </row>
    <row r="692" spans="1:5">
      <c r="A692" s="89" t="s">
        <v>100</v>
      </c>
      <c r="B692" s="290">
        <v>3525</v>
      </c>
      <c r="C692" s="289">
        <v>18988</v>
      </c>
      <c r="D692" s="105">
        <f t="shared" si="10"/>
        <v>5.3869999999999996</v>
      </c>
      <c r="E692" s="89"/>
    </row>
    <row r="693" spans="1:5">
      <c r="A693" s="89" t="s">
        <v>556</v>
      </c>
      <c r="B693" s="290">
        <v>13</v>
      </c>
      <c r="C693" s="291">
        <v>36</v>
      </c>
      <c r="D693" s="105">
        <f t="shared" si="10"/>
        <v>2.7690000000000001</v>
      </c>
      <c r="E693" s="89"/>
    </row>
    <row r="694" spans="1:5">
      <c r="A694" s="89" t="s">
        <v>557</v>
      </c>
      <c r="B694" s="290">
        <v>2770</v>
      </c>
      <c r="C694" s="289">
        <v>3018</v>
      </c>
      <c r="D694" s="105">
        <f t="shared" si="10"/>
        <v>1.0900000000000001</v>
      </c>
      <c r="E694" s="89"/>
    </row>
    <row r="695" spans="1:5">
      <c r="A695" s="89" t="s">
        <v>68</v>
      </c>
      <c r="B695" s="290">
        <v>1857</v>
      </c>
      <c r="C695" s="289">
        <v>2280</v>
      </c>
      <c r="D695" s="105">
        <f t="shared" si="10"/>
        <v>1.228</v>
      </c>
      <c r="E695" s="89"/>
    </row>
    <row r="696" spans="1:5">
      <c r="A696" s="89" t="s">
        <v>558</v>
      </c>
      <c r="B696" s="290">
        <v>15497</v>
      </c>
      <c r="C696" s="291">
        <v>14130</v>
      </c>
      <c r="D696" s="105">
        <f t="shared" si="10"/>
        <v>0.91200000000000003</v>
      </c>
      <c r="E696" s="89"/>
    </row>
    <row r="697" spans="1:5">
      <c r="A697" s="89" t="s">
        <v>559</v>
      </c>
      <c r="B697" s="290">
        <v>3130</v>
      </c>
      <c r="C697" s="289">
        <v>1596</v>
      </c>
      <c r="D697" s="105">
        <f t="shared" si="10"/>
        <v>0.51</v>
      </c>
      <c r="E697" s="89"/>
    </row>
    <row r="698" spans="1:5">
      <c r="A698" s="89" t="s">
        <v>560</v>
      </c>
      <c r="B698" s="290">
        <v>137570</v>
      </c>
      <c r="C698" s="289">
        <v>86844</v>
      </c>
      <c r="D698" s="105">
        <f t="shared" si="10"/>
        <v>0.63100000000000001</v>
      </c>
      <c r="E698" s="89"/>
    </row>
    <row r="699" spans="1:5">
      <c r="A699" s="89" t="s">
        <v>561</v>
      </c>
      <c r="B699" s="290">
        <v>825899</v>
      </c>
      <c r="C699" s="289">
        <v>623455</v>
      </c>
      <c r="D699" s="105">
        <f t="shared" si="10"/>
        <v>0.755</v>
      </c>
      <c r="E699" s="89"/>
    </row>
    <row r="700" spans="1:5">
      <c r="A700" s="89" t="s">
        <v>562</v>
      </c>
      <c r="B700" s="290">
        <v>60776</v>
      </c>
      <c r="C700" s="289">
        <v>57163</v>
      </c>
      <c r="D700" s="105">
        <f t="shared" si="10"/>
        <v>0.94099999999999995</v>
      </c>
      <c r="E700" s="89"/>
    </row>
    <row r="701" spans="1:5">
      <c r="A701" s="89" t="s">
        <v>59</v>
      </c>
      <c r="B701" s="290">
        <v>33216</v>
      </c>
      <c r="C701" s="289">
        <v>28484</v>
      </c>
      <c r="D701" s="105">
        <f t="shared" si="10"/>
        <v>0.85799999999999998</v>
      </c>
      <c r="E701" s="89"/>
    </row>
    <row r="702" spans="1:5">
      <c r="A702" s="89" t="s">
        <v>60</v>
      </c>
      <c r="B702" s="290">
        <v>6864</v>
      </c>
      <c r="C702" s="289">
        <v>3389</v>
      </c>
      <c r="D702" s="105">
        <f t="shared" si="10"/>
        <v>0.49399999999999999</v>
      </c>
      <c r="E702" s="89"/>
    </row>
    <row r="703" spans="1:5">
      <c r="A703" s="89" t="s">
        <v>61</v>
      </c>
      <c r="B703" s="290">
        <v>4379</v>
      </c>
      <c r="C703" s="289">
        <v>3821</v>
      </c>
      <c r="D703" s="105">
        <f t="shared" si="10"/>
        <v>0.873</v>
      </c>
      <c r="E703" s="89"/>
    </row>
    <row r="704" spans="1:5">
      <c r="A704" s="89" t="s">
        <v>563</v>
      </c>
      <c r="B704" s="290">
        <v>546</v>
      </c>
      <c r="C704" s="289">
        <v>450</v>
      </c>
      <c r="D704" s="105">
        <f t="shared" si="10"/>
        <v>0.82399999999999995</v>
      </c>
      <c r="E704" s="89"/>
    </row>
    <row r="705" spans="1:5">
      <c r="A705" s="89" t="s">
        <v>564</v>
      </c>
      <c r="B705" s="290">
        <v>512</v>
      </c>
      <c r="C705" s="289">
        <v>594</v>
      </c>
      <c r="D705" s="105">
        <f t="shared" si="10"/>
        <v>1.1599999999999999</v>
      </c>
      <c r="E705" s="89"/>
    </row>
    <row r="706" spans="1:5">
      <c r="A706" s="89" t="s">
        <v>565</v>
      </c>
      <c r="B706" s="290">
        <v>0</v>
      </c>
      <c r="C706" s="289">
        <v>0</v>
      </c>
      <c r="D706" s="105" t="str">
        <f t="shared" si="10"/>
        <v/>
      </c>
      <c r="E706" s="89"/>
    </row>
    <row r="707" spans="1:5">
      <c r="A707" s="89" t="s">
        <v>566</v>
      </c>
      <c r="B707" s="290">
        <v>400</v>
      </c>
      <c r="C707" s="289">
        <v>210</v>
      </c>
      <c r="D707" s="105">
        <f t="shared" si="10"/>
        <v>0.52500000000000002</v>
      </c>
      <c r="E707" s="89"/>
    </row>
    <row r="708" spans="1:5">
      <c r="A708" s="89" t="s">
        <v>567</v>
      </c>
      <c r="B708" s="290">
        <v>0</v>
      </c>
      <c r="C708" s="291">
        <v>0</v>
      </c>
      <c r="D708" s="105" t="str">
        <f t="shared" si="10"/>
        <v/>
      </c>
      <c r="E708" s="89"/>
    </row>
    <row r="709" spans="1:5">
      <c r="A709" s="89" t="s">
        <v>568</v>
      </c>
      <c r="B709" s="290">
        <v>14859</v>
      </c>
      <c r="C709" s="289">
        <v>20215</v>
      </c>
      <c r="D709" s="105">
        <f t="shared" ref="D709:D772" si="11">IF(B709=0,"",ROUND(C709/B709,3))</f>
        <v>1.36</v>
      </c>
      <c r="E709" s="89"/>
    </row>
    <row r="710" spans="1:5">
      <c r="A710" s="89" t="s">
        <v>569</v>
      </c>
      <c r="B710" s="290">
        <v>5839</v>
      </c>
      <c r="C710" s="289">
        <v>7872</v>
      </c>
      <c r="D710" s="105">
        <f t="shared" si="11"/>
        <v>1.3480000000000001</v>
      </c>
      <c r="E710" s="93"/>
    </row>
    <row r="711" spans="1:5">
      <c r="A711" s="89" t="s">
        <v>570</v>
      </c>
      <c r="B711" s="290">
        <v>564</v>
      </c>
      <c r="C711" s="289">
        <v>329</v>
      </c>
      <c r="D711" s="105">
        <f t="shared" si="11"/>
        <v>0.58299999999999996</v>
      </c>
      <c r="E711" s="93"/>
    </row>
    <row r="712" spans="1:5">
      <c r="A712" s="89" t="s">
        <v>571</v>
      </c>
      <c r="B712" s="290">
        <v>12</v>
      </c>
      <c r="C712" s="299">
        <v>0</v>
      </c>
      <c r="D712" s="105">
        <f t="shared" si="11"/>
        <v>0</v>
      </c>
      <c r="E712" s="93"/>
    </row>
    <row r="713" spans="1:5">
      <c r="A713" s="89" t="s">
        <v>572</v>
      </c>
      <c r="B713" s="290">
        <v>5263</v>
      </c>
      <c r="C713" s="289">
        <v>7543</v>
      </c>
      <c r="D713" s="105">
        <f t="shared" si="11"/>
        <v>1.4330000000000001</v>
      </c>
      <c r="E713" s="93"/>
    </row>
    <row r="714" spans="1:5">
      <c r="A714" s="89" t="s">
        <v>573</v>
      </c>
      <c r="B714" s="290">
        <v>222429</v>
      </c>
      <c r="C714" s="289">
        <v>135484</v>
      </c>
      <c r="D714" s="105">
        <f t="shared" si="11"/>
        <v>0.60899999999999999</v>
      </c>
      <c r="E714" s="93"/>
    </row>
    <row r="715" spans="1:5">
      <c r="A715" s="89" t="s">
        <v>574</v>
      </c>
      <c r="B715" s="290">
        <v>18416</v>
      </c>
      <c r="C715" s="289">
        <v>9765</v>
      </c>
      <c r="D715" s="105">
        <f t="shared" si="11"/>
        <v>0.53</v>
      </c>
      <c r="E715" s="93"/>
    </row>
    <row r="716" spans="1:5">
      <c r="A716" s="89" t="s">
        <v>575</v>
      </c>
      <c r="B716" s="290">
        <v>146104</v>
      </c>
      <c r="C716" s="289">
        <v>93457</v>
      </c>
      <c r="D716" s="105">
        <f t="shared" si="11"/>
        <v>0.64</v>
      </c>
      <c r="E716" s="93"/>
    </row>
    <row r="717" spans="1:5">
      <c r="A717" s="89" t="s">
        <v>576</v>
      </c>
      <c r="B717" s="290">
        <v>0</v>
      </c>
      <c r="C717" s="289">
        <v>0</v>
      </c>
      <c r="D717" s="105" t="str">
        <f t="shared" si="11"/>
        <v/>
      </c>
      <c r="E717" s="93"/>
    </row>
    <row r="718" spans="1:5">
      <c r="A718" s="89" t="s">
        <v>577</v>
      </c>
      <c r="B718" s="290">
        <v>28702</v>
      </c>
      <c r="C718" s="289">
        <v>7805</v>
      </c>
      <c r="D718" s="105">
        <f t="shared" si="11"/>
        <v>0.27200000000000002</v>
      </c>
      <c r="E718" s="93"/>
    </row>
    <row r="719" spans="1:5">
      <c r="A719" s="89" t="s">
        <v>578</v>
      </c>
      <c r="B719" s="290">
        <v>770</v>
      </c>
      <c r="C719" s="289">
        <v>867</v>
      </c>
      <c r="D719" s="105">
        <f t="shared" si="11"/>
        <v>1.1259999999999999</v>
      </c>
      <c r="E719" s="93"/>
    </row>
    <row r="720" spans="1:5">
      <c r="A720" s="89" t="s">
        <v>579</v>
      </c>
      <c r="B720" s="290">
        <v>0</v>
      </c>
      <c r="C720" s="289">
        <v>0</v>
      </c>
      <c r="D720" s="105" t="str">
        <f t="shared" si="11"/>
        <v/>
      </c>
      <c r="E720" s="93"/>
    </row>
    <row r="721" spans="1:5">
      <c r="A721" s="89" t="s">
        <v>580</v>
      </c>
      <c r="B721" s="290"/>
      <c r="C721" s="289">
        <v>7323</v>
      </c>
      <c r="D721" s="105" t="str">
        <f t="shared" si="11"/>
        <v/>
      </c>
      <c r="E721" s="93"/>
    </row>
    <row r="722" spans="1:5">
      <c r="A722" s="89" t="s">
        <v>581</v>
      </c>
      <c r="B722" s="290">
        <v>28437</v>
      </c>
      <c r="C722" s="289">
        <v>16267</v>
      </c>
      <c r="D722" s="105">
        <f t="shared" si="11"/>
        <v>0.57199999999999995</v>
      </c>
      <c r="E722" s="93"/>
    </row>
    <row r="723" spans="1:5">
      <c r="A723" s="89" t="s">
        <v>582</v>
      </c>
      <c r="B723" s="290">
        <v>176984</v>
      </c>
      <c r="C723" s="289">
        <v>40361</v>
      </c>
      <c r="D723" s="105">
        <f t="shared" si="11"/>
        <v>0.22800000000000001</v>
      </c>
      <c r="E723" s="93"/>
    </row>
    <row r="724" spans="1:5">
      <c r="A724" s="89" t="s">
        <v>583</v>
      </c>
      <c r="B724" s="290">
        <v>20065</v>
      </c>
      <c r="C724" s="289">
        <v>5264</v>
      </c>
      <c r="D724" s="105">
        <f t="shared" si="11"/>
        <v>0.26200000000000001</v>
      </c>
      <c r="E724" s="93"/>
    </row>
    <row r="725" spans="1:5">
      <c r="A725" s="89" t="s">
        <v>584</v>
      </c>
      <c r="B725" s="290">
        <v>91393</v>
      </c>
      <c r="C725" s="289">
        <v>15633</v>
      </c>
      <c r="D725" s="105">
        <f t="shared" si="11"/>
        <v>0.17100000000000001</v>
      </c>
      <c r="E725" s="93"/>
    </row>
    <row r="726" spans="1:5">
      <c r="A726" s="89" t="s">
        <v>585</v>
      </c>
      <c r="B726" s="290">
        <v>129</v>
      </c>
      <c r="C726" s="299">
        <v>0</v>
      </c>
      <c r="D726" s="105">
        <f t="shared" si="11"/>
        <v>0</v>
      </c>
      <c r="E726" s="93"/>
    </row>
    <row r="727" spans="1:5">
      <c r="A727" s="89" t="s">
        <v>586</v>
      </c>
      <c r="B727" s="290">
        <v>65397</v>
      </c>
      <c r="C727" s="289">
        <v>19464</v>
      </c>
      <c r="D727" s="105">
        <f t="shared" si="11"/>
        <v>0.29799999999999999</v>
      </c>
      <c r="E727" s="93"/>
    </row>
    <row r="728" spans="1:5">
      <c r="A728" s="89" t="s">
        <v>587</v>
      </c>
      <c r="B728" s="290">
        <v>5406</v>
      </c>
      <c r="C728" s="289">
        <v>106199</v>
      </c>
      <c r="D728" s="105">
        <f t="shared" si="11"/>
        <v>19.645</v>
      </c>
      <c r="E728" s="89"/>
    </row>
    <row r="729" spans="1:5">
      <c r="A729" s="89" t="s">
        <v>588</v>
      </c>
      <c r="B729" s="290">
        <v>1619</v>
      </c>
      <c r="C729" s="291">
        <v>1406</v>
      </c>
      <c r="D729" s="105">
        <f t="shared" si="11"/>
        <v>0.86799999999999999</v>
      </c>
      <c r="E729" s="89"/>
    </row>
    <row r="730" spans="1:5">
      <c r="A730" s="89" t="s">
        <v>589</v>
      </c>
      <c r="B730" s="290">
        <v>2245</v>
      </c>
      <c r="C730" s="289">
        <v>286</v>
      </c>
      <c r="D730" s="105">
        <f t="shared" si="11"/>
        <v>0.127</v>
      </c>
      <c r="E730" s="89"/>
    </row>
    <row r="731" spans="1:5">
      <c r="A731" s="89" t="s">
        <v>590</v>
      </c>
      <c r="B731" s="290">
        <v>781</v>
      </c>
      <c r="C731" s="289">
        <v>96434</v>
      </c>
      <c r="D731" s="105">
        <f t="shared" si="11"/>
        <v>123.47499999999999</v>
      </c>
      <c r="E731" s="89"/>
    </row>
    <row r="732" spans="1:5">
      <c r="A732" s="89" t="s">
        <v>591</v>
      </c>
      <c r="B732" s="290">
        <v>11</v>
      </c>
      <c r="C732" s="291">
        <v>4484</v>
      </c>
      <c r="D732" s="105">
        <f t="shared" si="11"/>
        <v>407.63600000000002</v>
      </c>
      <c r="E732" s="89"/>
    </row>
    <row r="733" spans="1:5">
      <c r="A733" s="89" t="s">
        <v>592</v>
      </c>
      <c r="B733" s="290">
        <v>0</v>
      </c>
      <c r="C733" s="289">
        <v>127</v>
      </c>
      <c r="D733" s="105" t="str">
        <f t="shared" si="11"/>
        <v/>
      </c>
      <c r="E733" s="89"/>
    </row>
    <row r="734" spans="1:5">
      <c r="A734" s="89" t="s">
        <v>593</v>
      </c>
      <c r="B734" s="290">
        <v>750</v>
      </c>
      <c r="C734" s="291">
        <v>3462</v>
      </c>
      <c r="D734" s="105">
        <f t="shared" si="11"/>
        <v>4.6159999999999997</v>
      </c>
      <c r="E734" s="89"/>
    </row>
    <row r="735" spans="1:5">
      <c r="A735" s="89" t="s">
        <v>594</v>
      </c>
      <c r="B735" s="290">
        <v>141439</v>
      </c>
      <c r="C735" s="289">
        <v>50567</v>
      </c>
      <c r="D735" s="105">
        <f t="shared" si="11"/>
        <v>0.35799999999999998</v>
      </c>
      <c r="E735" s="89"/>
    </row>
    <row r="736" spans="1:5">
      <c r="A736" s="89" t="s">
        <v>595</v>
      </c>
      <c r="B736" s="290">
        <v>14417</v>
      </c>
      <c r="C736" s="291">
        <v>4329</v>
      </c>
      <c r="D736" s="105">
        <f t="shared" si="11"/>
        <v>0.3</v>
      </c>
      <c r="E736" s="89"/>
    </row>
    <row r="737" spans="1:5">
      <c r="A737" s="89" t="s">
        <v>596</v>
      </c>
      <c r="B737" s="290">
        <v>0</v>
      </c>
      <c r="C737" s="291">
        <v>0</v>
      </c>
      <c r="D737" s="105" t="str">
        <f t="shared" si="11"/>
        <v/>
      </c>
      <c r="E737" s="89"/>
    </row>
    <row r="738" spans="1:5">
      <c r="A738" s="89" t="s">
        <v>597</v>
      </c>
      <c r="B738" s="290">
        <v>0</v>
      </c>
      <c r="C738" s="291">
        <v>0</v>
      </c>
      <c r="D738" s="105" t="str">
        <f t="shared" si="11"/>
        <v/>
      </c>
      <c r="E738" s="89"/>
    </row>
    <row r="739" spans="1:5">
      <c r="A739" s="89" t="s">
        <v>598</v>
      </c>
      <c r="B739" s="290">
        <v>33910</v>
      </c>
      <c r="C739" s="291">
        <v>9857</v>
      </c>
      <c r="D739" s="105">
        <f t="shared" si="11"/>
        <v>0.29099999999999998</v>
      </c>
      <c r="E739" s="89"/>
    </row>
    <row r="740" spans="1:5">
      <c r="A740" s="89" t="s">
        <v>599</v>
      </c>
      <c r="B740" s="290">
        <v>93112</v>
      </c>
      <c r="C740" s="289">
        <v>36381</v>
      </c>
      <c r="D740" s="105">
        <f t="shared" si="11"/>
        <v>0.39100000000000001</v>
      </c>
      <c r="E740" s="89"/>
    </row>
    <row r="741" spans="1:5">
      <c r="A741" s="89" t="s">
        <v>600</v>
      </c>
      <c r="B741" s="290">
        <v>395</v>
      </c>
      <c r="C741" s="291">
        <v>0</v>
      </c>
      <c r="D741" s="105">
        <f t="shared" si="11"/>
        <v>0</v>
      </c>
      <c r="E741" s="89"/>
    </row>
    <row r="742" spans="1:5">
      <c r="A742" s="89" t="s">
        <v>601</v>
      </c>
      <c r="B742" s="290">
        <v>0</v>
      </c>
      <c r="C742" s="291">
        <v>0</v>
      </c>
      <c r="D742" s="105" t="str">
        <f t="shared" si="11"/>
        <v/>
      </c>
      <c r="E742" s="89"/>
    </row>
    <row r="743" spans="1:5">
      <c r="A743" s="89" t="s">
        <v>602</v>
      </c>
      <c r="B743" s="290">
        <v>395</v>
      </c>
      <c r="C743" s="291">
        <v>0</v>
      </c>
      <c r="D743" s="105">
        <f t="shared" si="11"/>
        <v>0</v>
      </c>
      <c r="E743" s="89"/>
    </row>
    <row r="744" spans="1:5">
      <c r="A744" s="89" t="s">
        <v>603</v>
      </c>
      <c r="B744" s="290">
        <v>7324</v>
      </c>
      <c r="C744" s="291">
        <v>1191</v>
      </c>
      <c r="D744" s="105">
        <f t="shared" si="11"/>
        <v>0.16300000000000001</v>
      </c>
      <c r="E744" s="89"/>
    </row>
    <row r="745" spans="1:5">
      <c r="A745" s="89" t="s">
        <v>604</v>
      </c>
      <c r="B745" s="290">
        <v>7324</v>
      </c>
      <c r="C745" s="291">
        <v>1191</v>
      </c>
      <c r="D745" s="105">
        <f t="shared" si="11"/>
        <v>0.16300000000000001</v>
      </c>
      <c r="E745" s="89"/>
    </row>
    <row r="746" spans="1:5">
      <c r="A746" s="89" t="s">
        <v>605</v>
      </c>
      <c r="B746" s="290">
        <v>0</v>
      </c>
      <c r="C746" s="291">
        <v>0</v>
      </c>
      <c r="D746" s="105" t="str">
        <f t="shared" si="11"/>
        <v/>
      </c>
      <c r="E746" s="89"/>
    </row>
    <row r="747" spans="1:5">
      <c r="A747" s="89" t="s">
        <v>606</v>
      </c>
      <c r="B747" s="292">
        <v>0</v>
      </c>
      <c r="C747" s="291">
        <v>0</v>
      </c>
      <c r="D747" s="105" t="str">
        <f t="shared" si="11"/>
        <v/>
      </c>
      <c r="E747" s="89"/>
    </row>
    <row r="748" spans="1:5">
      <c r="A748" s="89" t="s">
        <v>607</v>
      </c>
      <c r="B748" s="290">
        <v>9193</v>
      </c>
      <c r="C748" s="289">
        <v>8808</v>
      </c>
      <c r="D748" s="105">
        <f t="shared" si="11"/>
        <v>0.95799999999999996</v>
      </c>
      <c r="E748" s="89"/>
    </row>
    <row r="749" spans="1:5">
      <c r="A749" s="89" t="s">
        <v>608</v>
      </c>
      <c r="B749" s="290">
        <v>35492</v>
      </c>
      <c r="C749" s="289">
        <v>31845</v>
      </c>
      <c r="D749" s="105">
        <f t="shared" si="11"/>
        <v>0.89700000000000002</v>
      </c>
      <c r="E749" s="89"/>
    </row>
    <row r="750" spans="1:5">
      <c r="A750" s="89" t="s">
        <v>609</v>
      </c>
      <c r="B750" s="290">
        <v>10494</v>
      </c>
      <c r="C750" s="289">
        <v>11850</v>
      </c>
      <c r="D750" s="105">
        <f t="shared" si="11"/>
        <v>1.129</v>
      </c>
      <c r="E750" s="89"/>
    </row>
    <row r="751" spans="1:5">
      <c r="A751" s="89" t="s">
        <v>610</v>
      </c>
      <c r="B751" s="290">
        <v>884</v>
      </c>
      <c r="C751" s="291">
        <v>843</v>
      </c>
      <c r="D751" s="105">
        <f t="shared" si="11"/>
        <v>0.95399999999999996</v>
      </c>
      <c r="E751" s="89"/>
    </row>
    <row r="752" spans="1:5">
      <c r="A752" s="89" t="s">
        <v>611</v>
      </c>
      <c r="B752" s="290">
        <v>21860</v>
      </c>
      <c r="C752" s="289">
        <v>18909</v>
      </c>
      <c r="D752" s="105">
        <f t="shared" si="11"/>
        <v>0.86499999999999999</v>
      </c>
      <c r="E752" s="89"/>
    </row>
    <row r="753" spans="1:5">
      <c r="A753" s="89" t="s">
        <v>612</v>
      </c>
      <c r="B753" s="290">
        <v>0</v>
      </c>
      <c r="C753" s="291">
        <v>0</v>
      </c>
      <c r="D753" s="105" t="str">
        <f t="shared" si="11"/>
        <v/>
      </c>
      <c r="E753" s="89"/>
    </row>
    <row r="754" spans="1:5">
      <c r="A754" s="89" t="s">
        <v>613</v>
      </c>
      <c r="B754" s="290">
        <v>2254</v>
      </c>
      <c r="C754" s="291">
        <v>243</v>
      </c>
      <c r="D754" s="105">
        <f t="shared" si="11"/>
        <v>0.108</v>
      </c>
      <c r="E754" s="89"/>
    </row>
    <row r="755" spans="1:5">
      <c r="A755" s="89" t="s">
        <v>614</v>
      </c>
      <c r="B755" s="290">
        <v>1368</v>
      </c>
      <c r="C755" s="291">
        <v>0</v>
      </c>
      <c r="D755" s="105">
        <f t="shared" si="11"/>
        <v>0</v>
      </c>
      <c r="E755" s="89"/>
    </row>
    <row r="756" spans="1:5">
      <c r="A756" s="89" t="s">
        <v>615</v>
      </c>
      <c r="B756" s="290">
        <v>1012</v>
      </c>
      <c r="C756" s="291">
        <v>463</v>
      </c>
      <c r="D756" s="105">
        <f t="shared" si="11"/>
        <v>0.45800000000000002</v>
      </c>
      <c r="E756" s="89"/>
    </row>
    <row r="757" spans="1:5">
      <c r="A757" s="89" t="s">
        <v>616</v>
      </c>
      <c r="B757" s="290">
        <v>118670</v>
      </c>
      <c r="C757" s="289">
        <v>181523</v>
      </c>
      <c r="D757" s="105">
        <f t="shared" si="11"/>
        <v>1.53</v>
      </c>
      <c r="E757" s="89"/>
    </row>
    <row r="758" spans="1:5">
      <c r="A758" s="89" t="s">
        <v>59</v>
      </c>
      <c r="B758" s="290">
        <v>1</v>
      </c>
      <c r="C758" s="291">
        <v>0</v>
      </c>
      <c r="D758" s="105">
        <f t="shared" si="11"/>
        <v>0</v>
      </c>
      <c r="E758" s="89"/>
    </row>
    <row r="759" spans="1:5">
      <c r="A759" s="89" t="s">
        <v>60</v>
      </c>
      <c r="B759" s="290">
        <v>0</v>
      </c>
      <c r="C759" s="291">
        <v>0</v>
      </c>
      <c r="D759" s="105" t="str">
        <f t="shared" si="11"/>
        <v/>
      </c>
      <c r="E759" s="89"/>
    </row>
    <row r="760" spans="1:5">
      <c r="A760" s="89" t="s">
        <v>61</v>
      </c>
      <c r="B760" s="290">
        <v>0</v>
      </c>
      <c r="C760" s="291">
        <v>0</v>
      </c>
      <c r="D760" s="105" t="str">
        <f t="shared" si="11"/>
        <v/>
      </c>
      <c r="E760" s="89"/>
    </row>
    <row r="761" spans="1:5">
      <c r="A761" s="89" t="s">
        <v>617</v>
      </c>
      <c r="B761" s="290">
        <v>0</v>
      </c>
      <c r="C761" s="291">
        <v>0</v>
      </c>
      <c r="D761" s="105" t="str">
        <f t="shared" si="11"/>
        <v/>
      </c>
      <c r="E761" s="89"/>
    </row>
    <row r="762" spans="1:5">
      <c r="A762" s="89" t="s">
        <v>618</v>
      </c>
      <c r="B762" s="290">
        <v>0</v>
      </c>
      <c r="C762" s="291">
        <v>0</v>
      </c>
      <c r="D762" s="105" t="str">
        <f t="shared" si="11"/>
        <v/>
      </c>
      <c r="E762" s="89"/>
    </row>
    <row r="763" spans="1:5">
      <c r="A763" s="89" t="s">
        <v>619</v>
      </c>
      <c r="B763" s="290">
        <v>0</v>
      </c>
      <c r="C763" s="291">
        <v>0</v>
      </c>
      <c r="D763" s="105" t="str">
        <f t="shared" si="11"/>
        <v/>
      </c>
      <c r="E763" s="89"/>
    </row>
    <row r="764" spans="1:5">
      <c r="A764" s="89" t="s">
        <v>620</v>
      </c>
      <c r="B764" s="290">
        <v>118223</v>
      </c>
      <c r="C764" s="289">
        <v>181244</v>
      </c>
      <c r="D764" s="105">
        <f t="shared" si="11"/>
        <v>1.5329999999999999</v>
      </c>
      <c r="E764" s="89"/>
    </row>
    <row r="765" spans="1:5">
      <c r="A765" s="89" t="s">
        <v>621</v>
      </c>
      <c r="B765" s="290">
        <v>0</v>
      </c>
      <c r="C765" s="291">
        <v>0</v>
      </c>
      <c r="D765" s="105" t="str">
        <f t="shared" si="11"/>
        <v/>
      </c>
      <c r="E765" s="89"/>
    </row>
    <row r="766" spans="1:5">
      <c r="A766" s="89" t="s">
        <v>622</v>
      </c>
      <c r="B766" s="290">
        <v>0</v>
      </c>
      <c r="C766" s="291">
        <v>0</v>
      </c>
      <c r="D766" s="105" t="str">
        <f t="shared" si="11"/>
        <v/>
      </c>
      <c r="E766" s="89"/>
    </row>
    <row r="767" spans="1:5">
      <c r="A767" s="89" t="s">
        <v>623</v>
      </c>
      <c r="B767" s="290">
        <v>0</v>
      </c>
      <c r="C767" s="291">
        <v>0</v>
      </c>
      <c r="D767" s="105" t="str">
        <f t="shared" si="11"/>
        <v/>
      </c>
      <c r="E767" s="89"/>
    </row>
    <row r="768" spans="1:5">
      <c r="A768" s="89" t="s">
        <v>100</v>
      </c>
      <c r="B768" s="290">
        <v>77</v>
      </c>
      <c r="C768" s="291">
        <v>0</v>
      </c>
      <c r="D768" s="105">
        <f t="shared" si="11"/>
        <v>0</v>
      </c>
      <c r="E768" s="89"/>
    </row>
    <row r="769" spans="1:5">
      <c r="A769" s="89" t="s">
        <v>624</v>
      </c>
      <c r="B769" s="290">
        <v>0</v>
      </c>
      <c r="C769" s="291">
        <v>0</v>
      </c>
      <c r="D769" s="105" t="str">
        <f t="shared" si="11"/>
        <v/>
      </c>
      <c r="E769" s="89"/>
    </row>
    <row r="770" spans="1:5">
      <c r="A770" s="89" t="s">
        <v>68</v>
      </c>
      <c r="B770" s="290">
        <v>266</v>
      </c>
      <c r="C770" s="291">
        <v>266</v>
      </c>
      <c r="D770" s="105">
        <f t="shared" si="11"/>
        <v>1</v>
      </c>
      <c r="E770" s="89"/>
    </row>
    <row r="771" spans="1:5">
      <c r="A771" s="89" t="s">
        <v>625</v>
      </c>
      <c r="B771" s="290">
        <v>103</v>
      </c>
      <c r="C771" s="291">
        <v>13</v>
      </c>
      <c r="D771" s="105">
        <f t="shared" si="11"/>
        <v>0.126</v>
      </c>
      <c r="E771" s="89"/>
    </row>
    <row r="772" spans="1:5">
      <c r="A772" s="89" t="s">
        <v>626</v>
      </c>
      <c r="B772" s="290">
        <v>39572</v>
      </c>
      <c r="C772" s="289">
        <v>1979</v>
      </c>
      <c r="D772" s="105">
        <f t="shared" si="11"/>
        <v>0.05</v>
      </c>
      <c r="E772" s="89"/>
    </row>
    <row r="773" spans="1:5">
      <c r="A773" s="89" t="s">
        <v>627</v>
      </c>
      <c r="B773" s="290">
        <v>2854286</v>
      </c>
      <c r="C773" s="289">
        <v>1930114</v>
      </c>
      <c r="D773" s="105">
        <f t="shared" ref="D773:D836" si="12">IF(B773=0,"",ROUND(C773/B773,3))</f>
        <v>0.67600000000000005</v>
      </c>
      <c r="E773" s="89"/>
    </row>
    <row r="774" spans="1:5">
      <c r="A774" s="89" t="s">
        <v>628</v>
      </c>
      <c r="B774" s="290">
        <v>507658</v>
      </c>
      <c r="C774" s="289">
        <v>432262</v>
      </c>
      <c r="D774" s="105">
        <f t="shared" si="12"/>
        <v>0.85099999999999998</v>
      </c>
      <c r="E774" s="89"/>
    </row>
    <row r="775" spans="1:5">
      <c r="A775" s="89" t="s">
        <v>59</v>
      </c>
      <c r="B775" s="290">
        <v>191909</v>
      </c>
      <c r="C775" s="289">
        <v>179101</v>
      </c>
      <c r="D775" s="105">
        <f t="shared" si="12"/>
        <v>0.93300000000000005</v>
      </c>
      <c r="E775" s="89"/>
    </row>
    <row r="776" spans="1:5">
      <c r="A776" s="89" t="s">
        <v>60</v>
      </c>
      <c r="B776" s="290">
        <v>59653</v>
      </c>
      <c r="C776" s="289">
        <v>49146</v>
      </c>
      <c r="D776" s="105">
        <f t="shared" si="12"/>
        <v>0.82399999999999995</v>
      </c>
      <c r="E776" s="89"/>
    </row>
    <row r="777" spans="1:5">
      <c r="A777" s="89" t="s">
        <v>61</v>
      </c>
      <c r="B777" s="290">
        <v>11573</v>
      </c>
      <c r="C777" s="289">
        <v>13809</v>
      </c>
      <c r="D777" s="105">
        <f t="shared" si="12"/>
        <v>1.1930000000000001</v>
      </c>
      <c r="E777" s="89"/>
    </row>
    <row r="778" spans="1:5">
      <c r="A778" s="89" t="s">
        <v>629</v>
      </c>
      <c r="B778" s="290">
        <v>31499</v>
      </c>
      <c r="C778" s="289">
        <v>29399</v>
      </c>
      <c r="D778" s="105">
        <f t="shared" si="12"/>
        <v>0.93300000000000005</v>
      </c>
      <c r="E778" s="89"/>
    </row>
    <row r="779" spans="1:5">
      <c r="A779" s="89" t="s">
        <v>630</v>
      </c>
      <c r="B779" s="290">
        <v>631</v>
      </c>
      <c r="C779" s="289">
        <v>674</v>
      </c>
      <c r="D779" s="105">
        <f t="shared" si="12"/>
        <v>1.0680000000000001</v>
      </c>
      <c r="E779" s="89"/>
    </row>
    <row r="780" spans="1:5">
      <c r="A780" s="89" t="s">
        <v>631</v>
      </c>
      <c r="B780" s="290">
        <v>5656</v>
      </c>
      <c r="C780" s="289">
        <v>4147</v>
      </c>
      <c r="D780" s="105">
        <f t="shared" si="12"/>
        <v>0.73299999999999998</v>
      </c>
      <c r="E780" s="89"/>
    </row>
    <row r="781" spans="1:5">
      <c r="A781" s="89" t="s">
        <v>632</v>
      </c>
      <c r="B781" s="290">
        <v>96</v>
      </c>
      <c r="C781" s="291">
        <v>159</v>
      </c>
      <c r="D781" s="105">
        <f t="shared" si="12"/>
        <v>1.6559999999999999</v>
      </c>
      <c r="E781" s="89"/>
    </row>
    <row r="782" spans="1:5">
      <c r="A782" s="89" t="s">
        <v>633</v>
      </c>
      <c r="B782" s="290">
        <v>14119</v>
      </c>
      <c r="C782" s="291">
        <v>2159</v>
      </c>
      <c r="D782" s="105">
        <f t="shared" si="12"/>
        <v>0.153</v>
      </c>
      <c r="E782" s="89"/>
    </row>
    <row r="783" spans="1:5">
      <c r="A783" s="89" t="s">
        <v>634</v>
      </c>
      <c r="B783" s="290">
        <v>0</v>
      </c>
      <c r="C783" s="291">
        <v>0</v>
      </c>
      <c r="D783" s="105" t="str">
        <f t="shared" si="12"/>
        <v/>
      </c>
      <c r="E783" s="89"/>
    </row>
    <row r="784" spans="1:5">
      <c r="A784" s="89" t="s">
        <v>635</v>
      </c>
      <c r="B784" s="290">
        <v>192522</v>
      </c>
      <c r="C784" s="289">
        <v>153668</v>
      </c>
      <c r="D784" s="105">
        <f t="shared" si="12"/>
        <v>0.79800000000000004</v>
      </c>
      <c r="E784" s="89"/>
    </row>
    <row r="785" spans="1:5">
      <c r="A785" s="89" t="s">
        <v>636</v>
      </c>
      <c r="B785" s="290">
        <v>10368</v>
      </c>
      <c r="C785" s="289">
        <v>9734</v>
      </c>
      <c r="D785" s="105">
        <f t="shared" si="12"/>
        <v>0.93899999999999995</v>
      </c>
      <c r="E785" s="89"/>
    </row>
    <row r="786" spans="1:5">
      <c r="A786" s="89" t="s">
        <v>637</v>
      </c>
      <c r="B786" s="290">
        <v>1755679</v>
      </c>
      <c r="C786" s="291">
        <v>718728</v>
      </c>
      <c r="D786" s="105">
        <f t="shared" si="12"/>
        <v>0.40899999999999997</v>
      </c>
      <c r="E786" s="89"/>
    </row>
    <row r="787" spans="1:5">
      <c r="A787" s="89" t="s">
        <v>638</v>
      </c>
      <c r="B787" s="290">
        <v>346252</v>
      </c>
      <c r="C787" s="291">
        <v>71856</v>
      </c>
      <c r="D787" s="105">
        <f t="shared" si="12"/>
        <v>0.20799999999999999</v>
      </c>
      <c r="E787" s="89"/>
    </row>
    <row r="788" spans="1:5">
      <c r="A788" s="89" t="s">
        <v>639</v>
      </c>
      <c r="B788" s="290">
        <v>1409427</v>
      </c>
      <c r="C788" s="291">
        <v>646872</v>
      </c>
      <c r="D788" s="105">
        <f t="shared" si="12"/>
        <v>0.45900000000000002</v>
      </c>
      <c r="E788" s="89"/>
    </row>
    <row r="789" spans="1:5">
      <c r="A789" s="89" t="s">
        <v>640</v>
      </c>
      <c r="B789" s="290">
        <v>311248</v>
      </c>
      <c r="C789" s="291">
        <v>233015</v>
      </c>
      <c r="D789" s="105">
        <f t="shared" si="12"/>
        <v>0.749</v>
      </c>
      <c r="E789" s="89"/>
    </row>
    <row r="790" spans="1:5">
      <c r="A790" s="89" t="s">
        <v>641</v>
      </c>
      <c r="B790" s="290">
        <v>3401</v>
      </c>
      <c r="C790" s="289">
        <v>3289</v>
      </c>
      <c r="D790" s="105">
        <f t="shared" si="12"/>
        <v>0.96699999999999997</v>
      </c>
      <c r="E790" s="89"/>
    </row>
    <row r="791" spans="1:5">
      <c r="A791" s="89" t="s">
        <v>642</v>
      </c>
      <c r="B791" s="290">
        <v>265932</v>
      </c>
      <c r="C791" s="291">
        <v>533086</v>
      </c>
      <c r="D791" s="105">
        <f t="shared" si="12"/>
        <v>2.0049999999999999</v>
      </c>
      <c r="E791" s="89"/>
    </row>
    <row r="792" spans="1:5">
      <c r="A792" s="89" t="s">
        <v>643</v>
      </c>
      <c r="B792" s="290">
        <v>11278514</v>
      </c>
      <c r="C792" s="289">
        <v>7077318</v>
      </c>
      <c r="D792" s="105">
        <f t="shared" si="12"/>
        <v>0.628</v>
      </c>
      <c r="E792" s="89"/>
    </row>
    <row r="793" spans="1:5">
      <c r="A793" s="89" t="s">
        <v>644</v>
      </c>
      <c r="B793" s="290">
        <v>1901148</v>
      </c>
      <c r="C793" s="289">
        <v>1469256</v>
      </c>
      <c r="D793" s="105">
        <f t="shared" si="12"/>
        <v>0.77300000000000002</v>
      </c>
      <c r="E793" s="89"/>
    </row>
    <row r="794" spans="1:5">
      <c r="A794" s="89" t="s">
        <v>59</v>
      </c>
      <c r="B794" s="290">
        <v>118690</v>
      </c>
      <c r="C794" s="289">
        <v>107635</v>
      </c>
      <c r="D794" s="105">
        <f t="shared" si="12"/>
        <v>0.90700000000000003</v>
      </c>
      <c r="E794" s="89"/>
    </row>
    <row r="795" spans="1:5">
      <c r="A795" s="89" t="s">
        <v>60</v>
      </c>
      <c r="B795" s="290">
        <v>5955</v>
      </c>
      <c r="C795" s="289">
        <v>2392</v>
      </c>
      <c r="D795" s="105">
        <f t="shared" si="12"/>
        <v>0.40200000000000002</v>
      </c>
      <c r="E795" s="89"/>
    </row>
    <row r="796" spans="1:5">
      <c r="A796" s="89" t="s">
        <v>61</v>
      </c>
      <c r="B796" s="290">
        <v>941</v>
      </c>
      <c r="C796" s="289">
        <v>863</v>
      </c>
      <c r="D796" s="105">
        <f t="shared" si="12"/>
        <v>0.91700000000000004</v>
      </c>
      <c r="E796" s="89"/>
    </row>
    <row r="797" spans="1:5">
      <c r="A797" s="89" t="s">
        <v>68</v>
      </c>
      <c r="B797" s="290">
        <v>271453</v>
      </c>
      <c r="C797" s="289">
        <v>257916</v>
      </c>
      <c r="D797" s="105">
        <f t="shared" si="12"/>
        <v>0.95</v>
      </c>
      <c r="E797" s="89"/>
    </row>
    <row r="798" spans="1:5">
      <c r="A798" s="89" t="s">
        <v>645</v>
      </c>
      <c r="B798" s="290">
        <v>557</v>
      </c>
      <c r="C798" s="291">
        <v>462</v>
      </c>
      <c r="D798" s="105">
        <f t="shared" si="12"/>
        <v>0.82899999999999996</v>
      </c>
      <c r="E798" s="89"/>
    </row>
    <row r="799" spans="1:5">
      <c r="A799" s="89" t="s">
        <v>646</v>
      </c>
      <c r="B799" s="290">
        <v>47839</v>
      </c>
      <c r="C799" s="289">
        <v>29419</v>
      </c>
      <c r="D799" s="105">
        <f t="shared" si="12"/>
        <v>0.61499999999999999</v>
      </c>
      <c r="E799" s="89"/>
    </row>
    <row r="800" spans="1:5">
      <c r="A800" s="89" t="s">
        <v>647</v>
      </c>
      <c r="B800" s="290">
        <v>51983</v>
      </c>
      <c r="C800" s="289">
        <v>37895</v>
      </c>
      <c r="D800" s="105">
        <f t="shared" si="12"/>
        <v>0.72899999999999998</v>
      </c>
      <c r="E800" s="89"/>
    </row>
    <row r="801" spans="1:5">
      <c r="A801" s="89" t="s">
        <v>648</v>
      </c>
      <c r="B801" s="290">
        <v>2770</v>
      </c>
      <c r="C801" s="289">
        <v>2585</v>
      </c>
      <c r="D801" s="105">
        <f t="shared" si="12"/>
        <v>0.93300000000000005</v>
      </c>
      <c r="E801" s="89"/>
    </row>
    <row r="802" spans="1:5">
      <c r="A802" s="89" t="s">
        <v>649</v>
      </c>
      <c r="B802" s="290">
        <v>5075</v>
      </c>
      <c r="C802" s="289">
        <v>6341</v>
      </c>
      <c r="D802" s="105">
        <f t="shared" si="12"/>
        <v>1.2490000000000001</v>
      </c>
      <c r="E802" s="89"/>
    </row>
    <row r="803" spans="1:5">
      <c r="A803" s="89" t="s">
        <v>650</v>
      </c>
      <c r="B803" s="290">
        <v>2277</v>
      </c>
      <c r="C803" s="289">
        <v>1653</v>
      </c>
      <c r="D803" s="105">
        <f t="shared" si="12"/>
        <v>0.72599999999999998</v>
      </c>
      <c r="E803" s="89"/>
    </row>
    <row r="804" spans="1:5">
      <c r="A804" s="89" t="s">
        <v>651</v>
      </c>
      <c r="B804" s="290">
        <v>183</v>
      </c>
      <c r="C804" s="289">
        <v>198</v>
      </c>
      <c r="D804" s="105">
        <f t="shared" si="12"/>
        <v>1.0820000000000001</v>
      </c>
      <c r="E804" s="89"/>
    </row>
    <row r="805" spans="1:5">
      <c r="A805" s="89" t="s">
        <v>652</v>
      </c>
      <c r="B805" s="290">
        <v>0</v>
      </c>
      <c r="C805" s="289">
        <v>0</v>
      </c>
      <c r="D805" s="105" t="str">
        <f t="shared" si="12"/>
        <v/>
      </c>
      <c r="E805" s="89"/>
    </row>
    <row r="806" spans="1:5">
      <c r="A806" s="89" t="s">
        <v>653</v>
      </c>
      <c r="B806" s="290">
        <v>9896</v>
      </c>
      <c r="C806" s="289">
        <v>2236</v>
      </c>
      <c r="D806" s="105">
        <f t="shared" si="12"/>
        <v>0.22600000000000001</v>
      </c>
      <c r="E806" s="89"/>
    </row>
    <row r="807" spans="1:5">
      <c r="A807" s="89" t="s">
        <v>654</v>
      </c>
      <c r="B807" s="290">
        <v>57</v>
      </c>
      <c r="C807" s="289">
        <v>0</v>
      </c>
      <c r="D807" s="105">
        <f t="shared" si="12"/>
        <v>0</v>
      </c>
      <c r="E807" s="89"/>
    </row>
    <row r="808" spans="1:5">
      <c r="A808" s="89" t="s">
        <v>655</v>
      </c>
      <c r="B808" s="290">
        <v>3401</v>
      </c>
      <c r="C808" s="289">
        <v>66</v>
      </c>
      <c r="D808" s="105">
        <f t="shared" si="12"/>
        <v>1.9E-2</v>
      </c>
      <c r="E808" s="89"/>
    </row>
    <row r="809" spans="1:5">
      <c r="A809" s="89" t="s">
        <v>656</v>
      </c>
      <c r="B809" s="290">
        <v>390604</v>
      </c>
      <c r="C809" s="289">
        <v>344219</v>
      </c>
      <c r="D809" s="105">
        <f t="shared" si="12"/>
        <v>0.88100000000000001</v>
      </c>
      <c r="E809" s="89"/>
    </row>
    <row r="810" spans="1:5">
      <c r="A810" s="89" t="s">
        <v>657</v>
      </c>
      <c r="B810" s="290">
        <v>3475</v>
      </c>
      <c r="C810" s="291">
        <v>1627</v>
      </c>
      <c r="D810" s="105">
        <f t="shared" si="12"/>
        <v>0.46800000000000003</v>
      </c>
      <c r="E810" s="89"/>
    </row>
    <row r="811" spans="1:5">
      <c r="A811" s="89" t="s">
        <v>658</v>
      </c>
      <c r="B811" s="290">
        <v>14452</v>
      </c>
      <c r="C811" s="291">
        <v>30</v>
      </c>
      <c r="D811" s="105">
        <f t="shared" si="12"/>
        <v>2E-3</v>
      </c>
      <c r="E811" s="89"/>
    </row>
    <row r="812" spans="1:5">
      <c r="A812" s="89" t="s">
        <v>659</v>
      </c>
      <c r="B812" s="290">
        <v>29425</v>
      </c>
      <c r="C812" s="289">
        <v>5750</v>
      </c>
      <c r="D812" s="105">
        <f t="shared" si="12"/>
        <v>0.19500000000000001</v>
      </c>
      <c r="E812" s="89"/>
    </row>
    <row r="813" spans="1:5">
      <c r="A813" s="89" t="s">
        <v>660</v>
      </c>
      <c r="B813" s="290">
        <v>291620</v>
      </c>
      <c r="C813" s="291">
        <v>250561</v>
      </c>
      <c r="D813" s="105">
        <f t="shared" si="12"/>
        <v>0.85899999999999999</v>
      </c>
      <c r="E813" s="89"/>
    </row>
    <row r="814" spans="1:5">
      <c r="A814" s="89" t="s">
        <v>661</v>
      </c>
      <c r="B814" s="290">
        <v>56843</v>
      </c>
      <c r="C814" s="291">
        <v>8240</v>
      </c>
      <c r="D814" s="105">
        <f t="shared" si="12"/>
        <v>0.14499999999999999</v>
      </c>
      <c r="E814" s="89"/>
    </row>
    <row r="815" spans="1:5">
      <c r="A815" s="89" t="s">
        <v>662</v>
      </c>
      <c r="B815" s="290">
        <v>64</v>
      </c>
      <c r="C815" s="291">
        <v>2</v>
      </c>
      <c r="D815" s="105">
        <f t="shared" si="12"/>
        <v>3.1E-2</v>
      </c>
      <c r="E815" s="89"/>
    </row>
    <row r="816" spans="1:5">
      <c r="A816" s="89" t="s">
        <v>663</v>
      </c>
      <c r="B816" s="290">
        <v>7080</v>
      </c>
      <c r="C816" s="291">
        <v>4505</v>
      </c>
      <c r="D816" s="105">
        <f t="shared" si="12"/>
        <v>0.63600000000000001</v>
      </c>
      <c r="E816" s="89"/>
    </row>
    <row r="817" spans="1:5">
      <c r="A817" s="89" t="s">
        <v>664</v>
      </c>
      <c r="B817" s="290">
        <v>200898</v>
      </c>
      <c r="C817" s="291">
        <v>276780</v>
      </c>
      <c r="D817" s="105">
        <f t="shared" si="12"/>
        <v>1.3779999999999999</v>
      </c>
      <c r="E817" s="89"/>
    </row>
    <row r="818" spans="1:5">
      <c r="A818" s="89" t="s">
        <v>665</v>
      </c>
      <c r="B818" s="290">
        <v>385610</v>
      </c>
      <c r="C818" s="291">
        <v>127881</v>
      </c>
      <c r="D818" s="105">
        <f t="shared" si="12"/>
        <v>0.33200000000000002</v>
      </c>
      <c r="E818" s="89"/>
    </row>
    <row r="819" spans="1:5">
      <c r="A819" s="89" t="s">
        <v>666</v>
      </c>
      <c r="B819" s="290">
        <v>491838</v>
      </c>
      <c r="C819" s="289">
        <v>471110</v>
      </c>
      <c r="D819" s="105">
        <f t="shared" si="12"/>
        <v>0.95799999999999996</v>
      </c>
      <c r="E819" s="89"/>
    </row>
    <row r="820" spans="1:5">
      <c r="A820" s="89" t="s">
        <v>59</v>
      </c>
      <c r="B820" s="290">
        <v>33644</v>
      </c>
      <c r="C820" s="289">
        <v>32420</v>
      </c>
      <c r="D820" s="105">
        <f t="shared" si="12"/>
        <v>0.96399999999999997</v>
      </c>
      <c r="E820" s="89"/>
    </row>
    <row r="821" spans="1:5">
      <c r="A821" s="89" t="s">
        <v>60</v>
      </c>
      <c r="B821" s="290">
        <v>3828</v>
      </c>
      <c r="C821" s="289">
        <v>679</v>
      </c>
      <c r="D821" s="105">
        <f t="shared" si="12"/>
        <v>0.17699999999999999</v>
      </c>
      <c r="E821" s="89"/>
    </row>
    <row r="822" spans="1:5">
      <c r="A822" s="89" t="s">
        <v>61</v>
      </c>
      <c r="B822" s="290">
        <v>788</v>
      </c>
      <c r="C822" s="289">
        <v>844</v>
      </c>
      <c r="D822" s="105">
        <f t="shared" si="12"/>
        <v>1.071</v>
      </c>
      <c r="E822" s="89"/>
    </row>
    <row r="823" spans="1:5">
      <c r="A823" s="89" t="s">
        <v>667</v>
      </c>
      <c r="B823" s="290">
        <v>91685</v>
      </c>
      <c r="C823" s="289">
        <v>84099</v>
      </c>
      <c r="D823" s="105">
        <f t="shared" si="12"/>
        <v>0.91700000000000004</v>
      </c>
      <c r="E823" s="89"/>
    </row>
    <row r="824" spans="1:5">
      <c r="A824" s="89" t="s">
        <v>668</v>
      </c>
      <c r="B824" s="290">
        <v>77666</v>
      </c>
      <c r="C824" s="289">
        <v>26467</v>
      </c>
      <c r="D824" s="105">
        <f t="shared" si="12"/>
        <v>0.34100000000000003</v>
      </c>
      <c r="E824" s="89"/>
    </row>
    <row r="825" spans="1:5">
      <c r="A825" s="89" t="s">
        <v>669</v>
      </c>
      <c r="B825" s="290">
        <v>5527</v>
      </c>
      <c r="C825" s="289">
        <v>3793</v>
      </c>
      <c r="D825" s="105">
        <f t="shared" si="12"/>
        <v>0.68600000000000005</v>
      </c>
      <c r="E825" s="89"/>
    </row>
    <row r="826" spans="1:5">
      <c r="A826" s="89" t="s">
        <v>670</v>
      </c>
      <c r="B826" s="290">
        <v>2798</v>
      </c>
      <c r="C826" s="289">
        <v>131879</v>
      </c>
      <c r="D826" s="105">
        <f t="shared" si="12"/>
        <v>47.133000000000003</v>
      </c>
      <c r="E826" s="89"/>
    </row>
    <row r="827" spans="1:5">
      <c r="A827" s="89" t="s">
        <v>671</v>
      </c>
      <c r="B827" s="290">
        <v>107873</v>
      </c>
      <c r="C827" s="289">
        <v>66139</v>
      </c>
      <c r="D827" s="105">
        <f t="shared" si="12"/>
        <v>0.61299999999999999</v>
      </c>
      <c r="E827" s="89"/>
    </row>
    <row r="828" spans="1:5">
      <c r="A828" s="89" t="s">
        <v>672</v>
      </c>
      <c r="B828" s="290">
        <v>17274</v>
      </c>
      <c r="C828" s="289">
        <v>12841</v>
      </c>
      <c r="D828" s="105">
        <f t="shared" si="12"/>
        <v>0.74299999999999999</v>
      </c>
      <c r="E828" s="89"/>
    </row>
    <row r="829" spans="1:5">
      <c r="A829" s="89" t="s">
        <v>673</v>
      </c>
      <c r="B829" s="290">
        <v>3250</v>
      </c>
      <c r="C829" s="289">
        <v>941</v>
      </c>
      <c r="D829" s="105">
        <f t="shared" si="12"/>
        <v>0.28999999999999998</v>
      </c>
      <c r="E829" s="89"/>
    </row>
    <row r="830" spans="1:5">
      <c r="A830" s="89" t="s">
        <v>674</v>
      </c>
      <c r="B830" s="290">
        <v>6201</v>
      </c>
      <c r="C830" s="289">
        <v>1370</v>
      </c>
      <c r="D830" s="105">
        <f t="shared" si="12"/>
        <v>0.221</v>
      </c>
      <c r="E830" s="89"/>
    </row>
    <row r="831" spans="1:5">
      <c r="A831" s="89" t="s">
        <v>675</v>
      </c>
      <c r="B831" s="290">
        <v>513</v>
      </c>
      <c r="C831" s="289">
        <v>307</v>
      </c>
      <c r="D831" s="105">
        <f t="shared" si="12"/>
        <v>0.59799999999999998</v>
      </c>
      <c r="E831" s="89"/>
    </row>
    <row r="832" spans="1:5">
      <c r="A832" s="89" t="s">
        <v>676</v>
      </c>
      <c r="B832" s="290">
        <v>8667</v>
      </c>
      <c r="C832" s="291">
        <v>1879</v>
      </c>
      <c r="D832" s="105">
        <f t="shared" si="12"/>
        <v>0.217</v>
      </c>
      <c r="E832" s="89"/>
    </row>
    <row r="833" spans="1:5">
      <c r="A833" s="89" t="s">
        <v>677</v>
      </c>
      <c r="B833" s="290">
        <v>0</v>
      </c>
      <c r="C833" s="291">
        <v>0</v>
      </c>
      <c r="D833" s="105" t="str">
        <f t="shared" si="12"/>
        <v/>
      </c>
      <c r="E833" s="89"/>
    </row>
    <row r="834" spans="1:5">
      <c r="A834" s="89" t="s">
        <v>678</v>
      </c>
      <c r="B834" s="290">
        <v>64</v>
      </c>
      <c r="C834" s="291">
        <v>0</v>
      </c>
      <c r="D834" s="105">
        <f t="shared" si="12"/>
        <v>0</v>
      </c>
      <c r="E834" s="89"/>
    </row>
    <row r="835" spans="1:5">
      <c r="A835" s="89" t="s">
        <v>679</v>
      </c>
      <c r="B835" s="290">
        <v>548</v>
      </c>
      <c r="C835" s="289">
        <v>66</v>
      </c>
      <c r="D835" s="105">
        <f t="shared" si="12"/>
        <v>0.12</v>
      </c>
      <c r="E835" s="89"/>
    </row>
    <row r="836" spans="1:5">
      <c r="A836" s="89" t="s">
        <v>680</v>
      </c>
      <c r="B836" s="290">
        <v>123</v>
      </c>
      <c r="C836" s="291">
        <v>145</v>
      </c>
      <c r="D836" s="105">
        <f t="shared" si="12"/>
        <v>1.179</v>
      </c>
      <c r="E836" s="89"/>
    </row>
    <row r="837" spans="1:5">
      <c r="A837" s="89" t="s">
        <v>681</v>
      </c>
      <c r="B837" s="290">
        <v>5037</v>
      </c>
      <c r="C837" s="291">
        <v>411</v>
      </c>
      <c r="D837" s="105">
        <f t="shared" ref="D837:D900" si="13">IF(B837=0,"",ROUND(C837/B837,3))</f>
        <v>8.2000000000000003E-2</v>
      </c>
      <c r="E837" s="89"/>
    </row>
    <row r="838" spans="1:5">
      <c r="A838" s="89" t="s">
        <v>682</v>
      </c>
      <c r="B838" s="290">
        <v>0</v>
      </c>
      <c r="C838" s="291">
        <v>0</v>
      </c>
      <c r="D838" s="105" t="str">
        <f t="shared" si="13"/>
        <v/>
      </c>
      <c r="E838" s="89"/>
    </row>
    <row r="839" spans="1:5">
      <c r="A839" s="89" t="s">
        <v>683</v>
      </c>
      <c r="B839" s="290">
        <v>4914</v>
      </c>
      <c r="C839" s="289">
        <v>2675</v>
      </c>
      <c r="D839" s="105">
        <f t="shared" si="13"/>
        <v>0.54400000000000004</v>
      </c>
      <c r="E839" s="89"/>
    </row>
    <row r="840" spans="1:5">
      <c r="A840" s="89" t="s">
        <v>684</v>
      </c>
      <c r="B840" s="290">
        <v>138</v>
      </c>
      <c r="C840" s="291">
        <v>121</v>
      </c>
      <c r="D840" s="105">
        <f t="shared" si="13"/>
        <v>0.877</v>
      </c>
      <c r="E840" s="89"/>
    </row>
    <row r="841" spans="1:5">
      <c r="A841" s="89" t="s">
        <v>685</v>
      </c>
      <c r="B841" s="290">
        <v>11699</v>
      </c>
      <c r="C841" s="289">
        <v>10223</v>
      </c>
      <c r="D841" s="105">
        <f t="shared" si="13"/>
        <v>0.874</v>
      </c>
      <c r="E841" s="89"/>
    </row>
    <row r="842" spans="1:5">
      <c r="A842" s="89" t="s">
        <v>651</v>
      </c>
      <c r="B842" s="290">
        <v>173</v>
      </c>
      <c r="C842" s="291">
        <v>603</v>
      </c>
      <c r="D842" s="105">
        <f t="shared" si="13"/>
        <v>3.4860000000000002</v>
      </c>
      <c r="E842" s="89"/>
    </row>
    <row r="843" spans="1:5">
      <c r="A843" s="89" t="s">
        <v>686</v>
      </c>
      <c r="B843" s="290">
        <v>109428</v>
      </c>
      <c r="C843" s="289">
        <v>93208</v>
      </c>
      <c r="D843" s="105">
        <f t="shared" si="13"/>
        <v>0.85199999999999998</v>
      </c>
      <c r="E843" s="89"/>
    </row>
    <row r="844" spans="1:5">
      <c r="A844" s="89" t="s">
        <v>687</v>
      </c>
      <c r="B844" s="290">
        <v>1695585</v>
      </c>
      <c r="C844" s="289">
        <v>466327</v>
      </c>
      <c r="D844" s="105">
        <f t="shared" si="13"/>
        <v>0.27500000000000002</v>
      </c>
      <c r="E844" s="89"/>
    </row>
    <row r="845" spans="1:5">
      <c r="A845" s="89" t="s">
        <v>59</v>
      </c>
      <c r="B845" s="290">
        <v>43444</v>
      </c>
      <c r="C845" s="289">
        <v>40948</v>
      </c>
      <c r="D845" s="105">
        <f t="shared" si="13"/>
        <v>0.94299999999999995</v>
      </c>
      <c r="E845" s="89"/>
    </row>
    <row r="846" spans="1:5">
      <c r="A846" s="89" t="s">
        <v>60</v>
      </c>
      <c r="B846" s="290">
        <v>3657</v>
      </c>
      <c r="C846" s="289">
        <v>1426</v>
      </c>
      <c r="D846" s="105">
        <f t="shared" si="13"/>
        <v>0.39</v>
      </c>
      <c r="E846" s="89"/>
    </row>
    <row r="847" spans="1:5">
      <c r="A847" s="89" t="s">
        <v>61</v>
      </c>
      <c r="B847" s="290">
        <v>3583</v>
      </c>
      <c r="C847" s="289">
        <v>4128</v>
      </c>
      <c r="D847" s="105">
        <f t="shared" si="13"/>
        <v>1.1519999999999999</v>
      </c>
      <c r="E847" s="89"/>
    </row>
    <row r="848" spans="1:5">
      <c r="A848" s="89" t="s">
        <v>688</v>
      </c>
      <c r="B848" s="290">
        <v>19353</v>
      </c>
      <c r="C848" s="289">
        <v>14798</v>
      </c>
      <c r="D848" s="105">
        <f t="shared" si="13"/>
        <v>0.76500000000000001</v>
      </c>
      <c r="E848" s="89"/>
    </row>
    <row r="849" spans="1:5">
      <c r="A849" s="89" t="s">
        <v>689</v>
      </c>
      <c r="B849" s="290">
        <v>1211043</v>
      </c>
      <c r="C849" s="289">
        <v>129097</v>
      </c>
      <c r="D849" s="105">
        <f t="shared" si="13"/>
        <v>0.107</v>
      </c>
      <c r="E849" s="89"/>
    </row>
    <row r="850" spans="1:5">
      <c r="A850" s="89" t="s">
        <v>690</v>
      </c>
      <c r="B850" s="290">
        <v>37043</v>
      </c>
      <c r="C850" s="289">
        <v>21304</v>
      </c>
      <c r="D850" s="105">
        <f t="shared" si="13"/>
        <v>0.57499999999999996</v>
      </c>
      <c r="E850" s="89"/>
    </row>
    <row r="851" spans="1:5">
      <c r="A851" s="89" t="s">
        <v>691</v>
      </c>
      <c r="B851" s="290">
        <v>0</v>
      </c>
      <c r="C851" s="291">
        <v>0</v>
      </c>
      <c r="D851" s="105" t="str">
        <f t="shared" si="13"/>
        <v/>
      </c>
      <c r="E851" s="89"/>
    </row>
    <row r="852" spans="1:5">
      <c r="A852" s="89" t="s">
        <v>692</v>
      </c>
      <c r="B852" s="290">
        <v>15212</v>
      </c>
      <c r="C852" s="289">
        <v>3948</v>
      </c>
      <c r="D852" s="105">
        <f t="shared" si="13"/>
        <v>0.26</v>
      </c>
      <c r="E852" s="89"/>
    </row>
    <row r="853" spans="1:5">
      <c r="A853" s="89" t="s">
        <v>693</v>
      </c>
      <c r="B853" s="290">
        <v>860</v>
      </c>
      <c r="C853" s="289">
        <v>637</v>
      </c>
      <c r="D853" s="105">
        <f t="shared" si="13"/>
        <v>0.74099999999999999</v>
      </c>
      <c r="E853" s="89"/>
    </row>
    <row r="854" spans="1:5">
      <c r="A854" s="89" t="s">
        <v>694</v>
      </c>
      <c r="B854" s="290">
        <v>6553</v>
      </c>
      <c r="C854" s="289">
        <v>7662</v>
      </c>
      <c r="D854" s="105">
        <f t="shared" si="13"/>
        <v>1.169</v>
      </c>
      <c r="E854" s="89"/>
    </row>
    <row r="855" spans="1:5">
      <c r="A855" s="89" t="s">
        <v>695</v>
      </c>
      <c r="B855" s="290">
        <v>34110</v>
      </c>
      <c r="C855" s="289">
        <v>21291</v>
      </c>
      <c r="D855" s="105">
        <f t="shared" si="13"/>
        <v>0.624</v>
      </c>
      <c r="E855" s="89"/>
    </row>
    <row r="856" spans="1:5">
      <c r="A856" s="89" t="s">
        <v>696</v>
      </c>
      <c r="B856" s="290">
        <v>878</v>
      </c>
      <c r="C856" s="289">
        <v>290</v>
      </c>
      <c r="D856" s="105">
        <f t="shared" si="13"/>
        <v>0.33</v>
      </c>
      <c r="E856" s="89"/>
    </row>
    <row r="857" spans="1:5">
      <c r="A857" s="89" t="s">
        <v>697</v>
      </c>
      <c r="B857" s="290">
        <v>11414</v>
      </c>
      <c r="C857" s="289">
        <v>9215</v>
      </c>
      <c r="D857" s="105">
        <f t="shared" si="13"/>
        <v>0.80700000000000005</v>
      </c>
      <c r="E857" s="89"/>
    </row>
    <row r="858" spans="1:5">
      <c r="A858" s="89" t="s">
        <v>698</v>
      </c>
      <c r="B858" s="290">
        <v>12752</v>
      </c>
      <c r="C858" s="289">
        <v>6563</v>
      </c>
      <c r="D858" s="105">
        <f t="shared" si="13"/>
        <v>0.51500000000000001</v>
      </c>
      <c r="E858" s="89"/>
    </row>
    <row r="859" spans="1:5">
      <c r="A859" s="89" t="s">
        <v>699</v>
      </c>
      <c r="B859" s="290">
        <v>2915</v>
      </c>
      <c r="C859" s="289">
        <v>311</v>
      </c>
      <c r="D859" s="105">
        <f t="shared" si="13"/>
        <v>0.107</v>
      </c>
      <c r="E859" s="89"/>
    </row>
    <row r="860" spans="1:5">
      <c r="A860" s="89" t="s">
        <v>700</v>
      </c>
      <c r="B860" s="290">
        <v>45888</v>
      </c>
      <c r="C860" s="289">
        <v>9172</v>
      </c>
      <c r="D860" s="105">
        <f t="shared" si="13"/>
        <v>0.2</v>
      </c>
      <c r="E860" s="89"/>
    </row>
    <row r="861" spans="1:5">
      <c r="A861" s="89" t="s">
        <v>701</v>
      </c>
      <c r="B861" s="290">
        <v>7915</v>
      </c>
      <c r="C861" s="289">
        <v>3437</v>
      </c>
      <c r="D861" s="105">
        <f t="shared" si="13"/>
        <v>0.434</v>
      </c>
      <c r="E861" s="89"/>
    </row>
    <row r="862" spans="1:5">
      <c r="A862" s="89" t="s">
        <v>702</v>
      </c>
      <c r="B862" s="290">
        <v>0</v>
      </c>
      <c r="C862" s="289">
        <v>0</v>
      </c>
      <c r="D862" s="105" t="str">
        <f t="shared" si="13"/>
        <v/>
      </c>
      <c r="E862" s="89"/>
    </row>
    <row r="863" spans="1:5">
      <c r="A863" s="89" t="s">
        <v>703</v>
      </c>
      <c r="B863" s="290">
        <v>38334</v>
      </c>
      <c r="C863" s="289">
        <v>17557</v>
      </c>
      <c r="D863" s="105">
        <f t="shared" si="13"/>
        <v>0.45800000000000002</v>
      </c>
      <c r="E863" s="89"/>
    </row>
    <row r="864" spans="1:5">
      <c r="A864" s="89" t="s">
        <v>704</v>
      </c>
      <c r="B864" s="290">
        <v>225</v>
      </c>
      <c r="C864" s="291">
        <v>93</v>
      </c>
      <c r="D864" s="105">
        <f t="shared" si="13"/>
        <v>0.41299999999999998</v>
      </c>
      <c r="E864" s="89"/>
    </row>
    <row r="865" spans="1:5">
      <c r="A865" s="89" t="s">
        <v>705</v>
      </c>
      <c r="B865" s="290">
        <v>179</v>
      </c>
      <c r="C865" s="291">
        <v>28</v>
      </c>
      <c r="D865" s="105">
        <f t="shared" si="13"/>
        <v>0.156</v>
      </c>
      <c r="E865" s="89"/>
    </row>
    <row r="866" spans="1:5">
      <c r="A866" s="89" t="s">
        <v>679</v>
      </c>
      <c r="B866" s="290">
        <v>410</v>
      </c>
      <c r="C866" s="289">
        <v>879</v>
      </c>
      <c r="D866" s="105">
        <f t="shared" si="13"/>
        <v>2.1440000000000001</v>
      </c>
      <c r="E866" s="89"/>
    </row>
    <row r="867" spans="1:5">
      <c r="A867" s="89" t="s">
        <v>706</v>
      </c>
      <c r="B867" s="290">
        <v>50</v>
      </c>
      <c r="C867" s="291">
        <v>0</v>
      </c>
      <c r="D867" s="105">
        <f t="shared" si="13"/>
        <v>0</v>
      </c>
      <c r="E867" s="89"/>
    </row>
    <row r="868" spans="1:5">
      <c r="A868" s="89" t="s">
        <v>707</v>
      </c>
      <c r="B868" s="290">
        <v>37066</v>
      </c>
      <c r="C868" s="289">
        <v>11710</v>
      </c>
      <c r="D868" s="105">
        <f t="shared" si="13"/>
        <v>0.316</v>
      </c>
      <c r="E868" s="89"/>
    </row>
    <row r="869" spans="1:5">
      <c r="A869" s="89" t="s">
        <v>708</v>
      </c>
      <c r="B869" s="290">
        <v>0</v>
      </c>
      <c r="C869" s="291">
        <v>0</v>
      </c>
      <c r="D869" s="105" t="str">
        <f t="shared" si="13"/>
        <v/>
      </c>
      <c r="E869" s="89"/>
    </row>
    <row r="870" spans="1:5">
      <c r="A870" s="89" t="s">
        <v>709</v>
      </c>
      <c r="B870" s="290">
        <v>0</v>
      </c>
      <c r="C870" s="291">
        <v>0</v>
      </c>
      <c r="D870" s="105" t="str">
        <f t="shared" si="13"/>
        <v/>
      </c>
      <c r="E870" s="89"/>
    </row>
    <row r="871" spans="1:5">
      <c r="A871" s="89" t="s">
        <v>710</v>
      </c>
      <c r="B871" s="290">
        <v>162701</v>
      </c>
      <c r="C871" s="289">
        <v>161833</v>
      </c>
      <c r="D871" s="105">
        <f t="shared" si="13"/>
        <v>0.995</v>
      </c>
      <c r="E871" s="89"/>
    </row>
    <row r="872" spans="1:5">
      <c r="A872" s="89" t="s">
        <v>711</v>
      </c>
      <c r="B872" s="290">
        <v>4250906</v>
      </c>
      <c r="C872" s="289">
        <v>1628145</v>
      </c>
      <c r="D872" s="105">
        <f t="shared" si="13"/>
        <v>0.38300000000000001</v>
      </c>
      <c r="E872" s="89"/>
    </row>
    <row r="873" spans="1:5">
      <c r="A873" s="89" t="s">
        <v>59</v>
      </c>
      <c r="B873" s="290">
        <v>15282</v>
      </c>
      <c r="C873" s="289">
        <v>12616</v>
      </c>
      <c r="D873" s="105">
        <f t="shared" si="13"/>
        <v>0.82599999999999996</v>
      </c>
      <c r="E873" s="89"/>
    </row>
    <row r="874" spans="1:5">
      <c r="A874" s="89" t="s">
        <v>60</v>
      </c>
      <c r="B874" s="290">
        <v>2554</v>
      </c>
      <c r="C874" s="289">
        <v>1319</v>
      </c>
      <c r="D874" s="105">
        <f t="shared" si="13"/>
        <v>0.51600000000000001</v>
      </c>
      <c r="E874" s="89"/>
    </row>
    <row r="875" spans="1:5">
      <c r="A875" s="89" t="s">
        <v>61</v>
      </c>
      <c r="B875" s="290">
        <v>147</v>
      </c>
      <c r="C875" s="289">
        <v>177</v>
      </c>
      <c r="D875" s="105">
        <f t="shared" si="13"/>
        <v>1.204</v>
      </c>
      <c r="E875" s="89"/>
    </row>
    <row r="876" spans="1:5">
      <c r="A876" s="89" t="s">
        <v>712</v>
      </c>
      <c r="B876" s="290">
        <v>1763715</v>
      </c>
      <c r="C876" s="289">
        <v>269542</v>
      </c>
      <c r="D876" s="105">
        <f t="shared" si="13"/>
        <v>0.153</v>
      </c>
      <c r="E876" s="89"/>
    </row>
    <row r="877" spans="1:5">
      <c r="A877" s="89" t="s">
        <v>713</v>
      </c>
      <c r="B877" s="290">
        <v>1491677</v>
      </c>
      <c r="C877" s="289">
        <v>577416</v>
      </c>
      <c r="D877" s="105">
        <f t="shared" si="13"/>
        <v>0.38700000000000001</v>
      </c>
      <c r="E877" s="89"/>
    </row>
    <row r="878" spans="1:5">
      <c r="A878" s="89" t="s">
        <v>714</v>
      </c>
      <c r="B878" s="290">
        <v>42444</v>
      </c>
      <c r="C878" s="289">
        <v>16082</v>
      </c>
      <c r="D878" s="105">
        <f t="shared" si="13"/>
        <v>0.379</v>
      </c>
      <c r="E878" s="89"/>
    </row>
    <row r="879" spans="1:5">
      <c r="A879" s="89" t="s">
        <v>715</v>
      </c>
      <c r="B879" s="290">
        <v>19958</v>
      </c>
      <c r="C879" s="289">
        <v>579188</v>
      </c>
      <c r="D879" s="105">
        <f t="shared" si="13"/>
        <v>29.02</v>
      </c>
      <c r="E879" s="89"/>
    </row>
    <row r="880" spans="1:5">
      <c r="A880" s="89" t="s">
        <v>716</v>
      </c>
      <c r="B880" s="290">
        <v>0</v>
      </c>
      <c r="C880" s="291">
        <v>0</v>
      </c>
      <c r="D880" s="105" t="str">
        <f t="shared" si="13"/>
        <v/>
      </c>
      <c r="E880" s="89"/>
    </row>
    <row r="881" spans="1:5">
      <c r="A881" s="89" t="s">
        <v>717</v>
      </c>
      <c r="B881" s="290">
        <v>1131</v>
      </c>
      <c r="C881" s="289">
        <v>697</v>
      </c>
      <c r="D881" s="105">
        <f t="shared" si="13"/>
        <v>0.61599999999999999</v>
      </c>
      <c r="E881" s="89"/>
    </row>
    <row r="882" spans="1:5">
      <c r="A882" s="89" t="s">
        <v>718</v>
      </c>
      <c r="B882" s="290">
        <v>913998</v>
      </c>
      <c r="C882" s="289">
        <v>171108</v>
      </c>
      <c r="D882" s="105">
        <f t="shared" si="13"/>
        <v>0.187</v>
      </c>
      <c r="E882" s="89"/>
    </row>
    <row r="883" spans="1:5">
      <c r="A883" s="89" t="s">
        <v>719</v>
      </c>
      <c r="B883" s="290">
        <v>162803</v>
      </c>
      <c r="C883" s="291">
        <v>129136</v>
      </c>
      <c r="D883" s="105">
        <f t="shared" si="13"/>
        <v>0.79300000000000004</v>
      </c>
      <c r="E883" s="89"/>
    </row>
    <row r="884" spans="1:5">
      <c r="A884" s="89" t="s">
        <v>720</v>
      </c>
      <c r="B884" s="290">
        <v>51723</v>
      </c>
      <c r="C884" s="291">
        <v>22903</v>
      </c>
      <c r="D884" s="105">
        <f t="shared" si="13"/>
        <v>0.443</v>
      </c>
      <c r="E884" s="89"/>
    </row>
    <row r="885" spans="1:5">
      <c r="A885" s="89" t="s">
        <v>721</v>
      </c>
      <c r="B885" s="290">
        <v>2736</v>
      </c>
      <c r="C885" s="291">
        <v>2063</v>
      </c>
      <c r="D885" s="105">
        <f t="shared" si="13"/>
        <v>0.754</v>
      </c>
      <c r="E885" s="89"/>
    </row>
    <row r="886" spans="1:5">
      <c r="A886" s="89" t="s">
        <v>722</v>
      </c>
      <c r="B886" s="290">
        <v>67210</v>
      </c>
      <c r="C886" s="291">
        <v>47411</v>
      </c>
      <c r="D886" s="105">
        <f t="shared" si="13"/>
        <v>0.70499999999999996</v>
      </c>
      <c r="E886" s="89"/>
    </row>
    <row r="887" spans="1:5">
      <c r="A887" s="89" t="s">
        <v>723</v>
      </c>
      <c r="B887" s="290">
        <v>30671</v>
      </c>
      <c r="C887" s="291">
        <v>24353</v>
      </c>
      <c r="D887" s="105">
        <f t="shared" si="13"/>
        <v>0.79400000000000004</v>
      </c>
      <c r="E887" s="89"/>
    </row>
    <row r="888" spans="1:5">
      <c r="A888" s="89" t="s">
        <v>724</v>
      </c>
      <c r="B888" s="290">
        <v>175</v>
      </c>
      <c r="C888" s="291">
        <v>2006</v>
      </c>
      <c r="D888" s="105">
        <f t="shared" si="13"/>
        <v>11.462999999999999</v>
      </c>
      <c r="E888" s="89"/>
    </row>
    <row r="889" spans="1:5">
      <c r="A889" s="89" t="s">
        <v>725</v>
      </c>
      <c r="B889" s="290">
        <v>10288</v>
      </c>
      <c r="C889" s="291">
        <v>30400</v>
      </c>
      <c r="D889" s="105">
        <f t="shared" si="13"/>
        <v>2.9550000000000001</v>
      </c>
      <c r="E889" s="89"/>
    </row>
    <row r="890" spans="1:5">
      <c r="A890" s="89" t="s">
        <v>726</v>
      </c>
      <c r="B890" s="290">
        <v>301927</v>
      </c>
      <c r="C890" s="289">
        <v>253899</v>
      </c>
      <c r="D890" s="105">
        <f t="shared" si="13"/>
        <v>0.84099999999999997</v>
      </c>
      <c r="E890" s="89"/>
    </row>
    <row r="891" spans="1:5">
      <c r="A891" s="89" t="s">
        <v>727</v>
      </c>
      <c r="B891" s="290">
        <v>231</v>
      </c>
      <c r="C891" s="291">
        <v>0</v>
      </c>
      <c r="D891" s="105">
        <f t="shared" si="13"/>
        <v>0</v>
      </c>
      <c r="E891" s="89"/>
    </row>
    <row r="892" spans="1:5">
      <c r="A892" s="89" t="s">
        <v>728</v>
      </c>
      <c r="B892" s="290">
        <v>0</v>
      </c>
      <c r="C892" s="291">
        <v>86</v>
      </c>
      <c r="D892" s="105" t="str">
        <f t="shared" si="13"/>
        <v/>
      </c>
      <c r="E892" s="89"/>
    </row>
    <row r="893" spans="1:5">
      <c r="A893" s="89" t="s">
        <v>729</v>
      </c>
      <c r="B893" s="290">
        <v>273459</v>
      </c>
      <c r="C893" s="291">
        <v>231831</v>
      </c>
      <c r="D893" s="105">
        <f t="shared" si="13"/>
        <v>0.84799999999999998</v>
      </c>
      <c r="E893" s="89"/>
    </row>
    <row r="894" spans="1:5">
      <c r="A894" s="89" t="s">
        <v>730</v>
      </c>
      <c r="B894" s="290">
        <v>186</v>
      </c>
      <c r="C894" s="291">
        <v>51</v>
      </c>
      <c r="D894" s="105">
        <f t="shared" si="13"/>
        <v>0.27400000000000002</v>
      </c>
      <c r="E894" s="89"/>
    </row>
    <row r="895" spans="1:5">
      <c r="A895" s="89" t="s">
        <v>731</v>
      </c>
      <c r="B895" s="290">
        <v>0</v>
      </c>
      <c r="C895" s="291">
        <v>0</v>
      </c>
      <c r="D895" s="105" t="str">
        <f t="shared" si="13"/>
        <v/>
      </c>
      <c r="E895" s="89"/>
    </row>
    <row r="896" spans="1:5">
      <c r="A896" s="89" t="s">
        <v>732</v>
      </c>
      <c r="B896" s="290">
        <v>28051</v>
      </c>
      <c r="C896" s="289">
        <v>21931</v>
      </c>
      <c r="D896" s="105">
        <f t="shared" si="13"/>
        <v>0.78200000000000003</v>
      </c>
      <c r="E896" s="89"/>
    </row>
    <row r="897" spans="1:5">
      <c r="A897" s="89" t="s">
        <v>733</v>
      </c>
      <c r="B897" s="290">
        <v>1855485</v>
      </c>
      <c r="C897" s="289">
        <v>2087385</v>
      </c>
      <c r="D897" s="105">
        <f t="shared" si="13"/>
        <v>1.125</v>
      </c>
      <c r="E897" s="89"/>
    </row>
    <row r="898" spans="1:5">
      <c r="A898" s="89" t="s">
        <v>734</v>
      </c>
      <c r="B898" s="290">
        <v>1855479</v>
      </c>
      <c r="C898" s="289">
        <v>2087376</v>
      </c>
      <c r="D898" s="105">
        <f t="shared" si="13"/>
        <v>1.125</v>
      </c>
      <c r="E898" s="89"/>
    </row>
    <row r="899" spans="1:5">
      <c r="A899" s="89" t="s">
        <v>735</v>
      </c>
      <c r="B899" s="290">
        <v>6</v>
      </c>
      <c r="C899" s="291">
        <v>9</v>
      </c>
      <c r="D899" s="105">
        <f t="shared" si="13"/>
        <v>1.5</v>
      </c>
      <c r="E899" s="89"/>
    </row>
    <row r="900" spans="1:5">
      <c r="A900" s="89" t="s">
        <v>736</v>
      </c>
      <c r="B900" s="290">
        <v>618822</v>
      </c>
      <c r="C900" s="289">
        <v>572060</v>
      </c>
      <c r="D900" s="105">
        <f t="shared" si="13"/>
        <v>0.92400000000000004</v>
      </c>
      <c r="E900" s="89"/>
    </row>
    <row r="901" spans="1:5">
      <c r="A901" s="89" t="s">
        <v>737</v>
      </c>
      <c r="B901" s="292">
        <v>0</v>
      </c>
      <c r="C901" s="291">
        <v>0</v>
      </c>
      <c r="D901" s="105" t="str">
        <f t="shared" ref="D901:D964" si="14">IF(B901=0,"",ROUND(C901/B901,3))</f>
        <v/>
      </c>
      <c r="E901" s="89"/>
    </row>
    <row r="902" spans="1:5">
      <c r="A902" s="89" t="s">
        <v>738</v>
      </c>
      <c r="B902" s="290">
        <v>618822</v>
      </c>
      <c r="C902" s="289">
        <v>572060</v>
      </c>
      <c r="D902" s="105">
        <f t="shared" si="14"/>
        <v>0.92400000000000004</v>
      </c>
      <c r="E902" s="89"/>
    </row>
    <row r="903" spans="1:5">
      <c r="A903" s="95" t="s">
        <v>739</v>
      </c>
      <c r="B903" s="290">
        <v>3048091</v>
      </c>
      <c r="C903" s="289">
        <v>2543762</v>
      </c>
      <c r="D903" s="105">
        <f t="shared" si="14"/>
        <v>0.83499999999999996</v>
      </c>
      <c r="E903" s="89"/>
    </row>
    <row r="904" spans="1:5">
      <c r="A904" s="89" t="s">
        <v>740</v>
      </c>
      <c r="B904" s="290">
        <v>659008</v>
      </c>
      <c r="C904" s="289">
        <v>629270</v>
      </c>
      <c r="D904" s="105">
        <f t="shared" si="14"/>
        <v>0.95499999999999996</v>
      </c>
      <c r="E904" s="89"/>
    </row>
    <row r="905" spans="1:5">
      <c r="A905" s="89" t="s">
        <v>59</v>
      </c>
      <c r="B905" s="290">
        <v>67506</v>
      </c>
      <c r="C905" s="289">
        <v>50448</v>
      </c>
      <c r="D905" s="105">
        <f t="shared" si="14"/>
        <v>0.747</v>
      </c>
      <c r="E905" s="89"/>
    </row>
    <row r="906" spans="1:5">
      <c r="A906" s="89" t="s">
        <v>60</v>
      </c>
      <c r="B906" s="290">
        <v>13976</v>
      </c>
      <c r="C906" s="289">
        <v>8318</v>
      </c>
      <c r="D906" s="105">
        <f t="shared" si="14"/>
        <v>0.59499999999999997</v>
      </c>
      <c r="E906" s="89"/>
    </row>
    <row r="907" spans="1:5">
      <c r="A907" s="89" t="s">
        <v>61</v>
      </c>
      <c r="B907" s="290">
        <v>920</v>
      </c>
      <c r="C907" s="289">
        <v>897</v>
      </c>
      <c r="D907" s="105">
        <f t="shared" si="14"/>
        <v>0.97499999999999998</v>
      </c>
      <c r="E907" s="89"/>
    </row>
    <row r="908" spans="1:5">
      <c r="A908" s="89" t="s">
        <v>741</v>
      </c>
      <c r="B908" s="290">
        <v>214669</v>
      </c>
      <c r="C908" s="289">
        <v>281741</v>
      </c>
      <c r="D908" s="105">
        <f t="shared" si="14"/>
        <v>1.3120000000000001</v>
      </c>
      <c r="E908" s="89"/>
    </row>
    <row r="909" spans="1:5">
      <c r="A909" s="89" t="s">
        <v>742</v>
      </c>
      <c r="B909" s="290">
        <v>250217</v>
      </c>
      <c r="C909" s="289">
        <v>217131</v>
      </c>
      <c r="D909" s="105">
        <f t="shared" si="14"/>
        <v>0.86799999999999999</v>
      </c>
      <c r="E909" s="89"/>
    </row>
    <row r="910" spans="1:5">
      <c r="A910" s="89" t="s">
        <v>743</v>
      </c>
      <c r="B910" s="290">
        <v>3235</v>
      </c>
      <c r="C910" s="289">
        <v>1730</v>
      </c>
      <c r="D910" s="105">
        <f t="shared" si="14"/>
        <v>0.53500000000000003</v>
      </c>
      <c r="E910" s="89"/>
    </row>
    <row r="911" spans="1:5">
      <c r="A911" s="89" t="s">
        <v>744</v>
      </c>
      <c r="B911" s="290">
        <v>185</v>
      </c>
      <c r="C911" s="291">
        <v>467</v>
      </c>
      <c r="D911" s="105">
        <f t="shared" si="14"/>
        <v>2.524</v>
      </c>
      <c r="E911" s="89"/>
    </row>
    <row r="912" spans="1:5">
      <c r="A912" s="89" t="s">
        <v>745</v>
      </c>
      <c r="B912" s="290">
        <v>55068</v>
      </c>
      <c r="C912" s="289">
        <v>27848</v>
      </c>
      <c r="D912" s="105">
        <f t="shared" si="14"/>
        <v>0.50600000000000001</v>
      </c>
      <c r="E912" s="89"/>
    </row>
    <row r="913" spans="1:5">
      <c r="A913" s="89" t="s">
        <v>746</v>
      </c>
      <c r="B913" s="290">
        <v>9757</v>
      </c>
      <c r="C913" s="289">
        <v>13705</v>
      </c>
      <c r="D913" s="105">
        <f t="shared" si="14"/>
        <v>1.405</v>
      </c>
      <c r="E913" s="89"/>
    </row>
    <row r="914" spans="1:5">
      <c r="A914" s="89" t="s">
        <v>747</v>
      </c>
      <c r="B914" s="290">
        <v>0</v>
      </c>
      <c r="C914" s="291">
        <v>0</v>
      </c>
      <c r="D914" s="105" t="str">
        <f t="shared" si="14"/>
        <v/>
      </c>
      <c r="E914" s="89"/>
    </row>
    <row r="915" spans="1:5">
      <c r="A915" s="89" t="s">
        <v>748</v>
      </c>
      <c r="B915" s="290">
        <v>0</v>
      </c>
      <c r="C915" s="291">
        <v>0</v>
      </c>
      <c r="D915" s="105" t="str">
        <f t="shared" si="14"/>
        <v/>
      </c>
      <c r="E915" s="89"/>
    </row>
    <row r="916" spans="1:5">
      <c r="A916" s="89" t="s">
        <v>749</v>
      </c>
      <c r="B916" s="290">
        <v>0</v>
      </c>
      <c r="C916" s="291">
        <v>0</v>
      </c>
      <c r="D916" s="105" t="str">
        <f t="shared" si="14"/>
        <v/>
      </c>
      <c r="E916" s="89"/>
    </row>
    <row r="917" spans="1:5">
      <c r="A917" s="89" t="s">
        <v>750</v>
      </c>
      <c r="B917" s="290">
        <v>0</v>
      </c>
      <c r="C917" s="291">
        <v>0</v>
      </c>
      <c r="D917" s="105" t="str">
        <f t="shared" si="14"/>
        <v/>
      </c>
      <c r="E917" s="89"/>
    </row>
    <row r="918" spans="1:5">
      <c r="A918" s="89" t="s">
        <v>751</v>
      </c>
      <c r="B918" s="290">
        <v>0</v>
      </c>
      <c r="C918" s="291">
        <v>0</v>
      </c>
      <c r="D918" s="105" t="str">
        <f t="shared" si="14"/>
        <v/>
      </c>
      <c r="E918" s="89"/>
    </row>
    <row r="919" spans="1:5">
      <c r="A919" s="89" t="s">
        <v>752</v>
      </c>
      <c r="B919" s="290">
        <v>0</v>
      </c>
      <c r="C919" s="291">
        <v>0</v>
      </c>
      <c r="D919" s="105" t="str">
        <f t="shared" si="14"/>
        <v/>
      </c>
      <c r="E919" s="89"/>
    </row>
    <row r="920" spans="1:5">
      <c r="A920" s="89" t="s">
        <v>753</v>
      </c>
      <c r="B920" s="290">
        <v>0</v>
      </c>
      <c r="C920" s="291">
        <v>0</v>
      </c>
      <c r="D920" s="105" t="str">
        <f t="shared" si="14"/>
        <v/>
      </c>
      <c r="E920" s="89"/>
    </row>
    <row r="921" spans="1:5">
      <c r="A921" s="89" t="s">
        <v>754</v>
      </c>
      <c r="B921" s="290">
        <v>0</v>
      </c>
      <c r="C921" s="291">
        <v>0</v>
      </c>
      <c r="D921" s="105" t="str">
        <f t="shared" si="14"/>
        <v/>
      </c>
      <c r="E921" s="89"/>
    </row>
    <row r="922" spans="1:5">
      <c r="A922" s="89" t="s">
        <v>755</v>
      </c>
      <c r="B922" s="290">
        <v>0</v>
      </c>
      <c r="C922" s="291">
        <v>0</v>
      </c>
      <c r="D922" s="105" t="str">
        <f t="shared" si="14"/>
        <v/>
      </c>
      <c r="E922" s="89"/>
    </row>
    <row r="923" spans="1:5">
      <c r="A923" s="89" t="s">
        <v>756</v>
      </c>
      <c r="B923" s="290">
        <v>0</v>
      </c>
      <c r="C923" s="291">
        <v>0</v>
      </c>
      <c r="D923" s="105" t="str">
        <f t="shared" si="14"/>
        <v/>
      </c>
      <c r="E923" s="89"/>
    </row>
    <row r="924" spans="1:5">
      <c r="A924" s="89" t="s">
        <v>757</v>
      </c>
      <c r="B924" s="290">
        <v>2378</v>
      </c>
      <c r="C924" s="291">
        <v>1380</v>
      </c>
      <c r="D924" s="105">
        <f t="shared" si="14"/>
        <v>0.57999999999999996</v>
      </c>
      <c r="E924" s="89"/>
    </row>
    <row r="925" spans="1:5">
      <c r="A925" s="89" t="s">
        <v>758</v>
      </c>
      <c r="B925" s="290">
        <v>0</v>
      </c>
      <c r="C925" s="291">
        <v>0</v>
      </c>
      <c r="D925" s="105" t="str">
        <f t="shared" si="14"/>
        <v/>
      </c>
      <c r="E925" s="89"/>
    </row>
    <row r="926" spans="1:5">
      <c r="A926" s="89" t="s">
        <v>759</v>
      </c>
      <c r="B926" s="290">
        <v>41097</v>
      </c>
      <c r="C926" s="289">
        <v>25605</v>
      </c>
      <c r="D926" s="105">
        <f t="shared" si="14"/>
        <v>0.623</v>
      </c>
      <c r="E926" s="89"/>
    </row>
    <row r="927" spans="1:5">
      <c r="A927" s="89" t="s">
        <v>760</v>
      </c>
      <c r="B927" s="290">
        <v>252120</v>
      </c>
      <c r="C927" s="289">
        <v>5401</v>
      </c>
      <c r="D927" s="105">
        <f t="shared" si="14"/>
        <v>2.1000000000000001E-2</v>
      </c>
      <c r="E927" s="89"/>
    </row>
    <row r="928" spans="1:5">
      <c r="A928" s="89" t="s">
        <v>59</v>
      </c>
      <c r="B928" s="290">
        <v>0</v>
      </c>
      <c r="C928" s="291">
        <v>0</v>
      </c>
      <c r="D928" s="105" t="str">
        <f t="shared" si="14"/>
        <v/>
      </c>
      <c r="E928" s="89"/>
    </row>
    <row r="929" spans="1:5">
      <c r="A929" s="89" t="s">
        <v>60</v>
      </c>
      <c r="B929" s="290">
        <v>0</v>
      </c>
      <c r="C929" s="291">
        <v>30</v>
      </c>
      <c r="D929" s="105" t="str">
        <f t="shared" si="14"/>
        <v/>
      </c>
      <c r="E929" s="89"/>
    </row>
    <row r="930" spans="1:5">
      <c r="A930" s="89" t="s">
        <v>61</v>
      </c>
      <c r="B930" s="290">
        <v>0</v>
      </c>
      <c r="C930" s="291">
        <v>0</v>
      </c>
      <c r="D930" s="105" t="str">
        <f t="shared" si="14"/>
        <v/>
      </c>
      <c r="E930" s="89"/>
    </row>
    <row r="931" spans="1:5">
      <c r="A931" s="89" t="s">
        <v>761</v>
      </c>
      <c r="B931" s="290">
        <v>219270</v>
      </c>
      <c r="C931" s="291">
        <v>43</v>
      </c>
      <c r="D931" s="105">
        <f t="shared" si="14"/>
        <v>0</v>
      </c>
      <c r="E931" s="89"/>
    </row>
    <row r="932" spans="1:5">
      <c r="A932" s="89" t="s">
        <v>762</v>
      </c>
      <c r="B932" s="290">
        <v>0</v>
      </c>
      <c r="C932" s="291">
        <v>0</v>
      </c>
      <c r="D932" s="105" t="str">
        <f t="shared" si="14"/>
        <v/>
      </c>
      <c r="E932" s="89"/>
    </row>
    <row r="933" spans="1:5">
      <c r="A933" s="89" t="s">
        <v>763</v>
      </c>
      <c r="B933" s="290">
        <v>5920</v>
      </c>
      <c r="C933" s="289">
        <v>5328</v>
      </c>
      <c r="D933" s="105">
        <f t="shared" si="14"/>
        <v>0.9</v>
      </c>
      <c r="E933" s="89"/>
    </row>
    <row r="934" spans="1:5">
      <c r="A934" s="89" t="s">
        <v>764</v>
      </c>
      <c r="B934" s="290">
        <v>0</v>
      </c>
      <c r="C934" s="291">
        <v>0</v>
      </c>
      <c r="D934" s="105" t="str">
        <f t="shared" si="14"/>
        <v/>
      </c>
      <c r="E934" s="89"/>
    </row>
    <row r="935" spans="1:5">
      <c r="A935" s="89" t="s">
        <v>765</v>
      </c>
      <c r="B935" s="290">
        <v>0</v>
      </c>
      <c r="C935" s="291">
        <v>0</v>
      </c>
      <c r="D935" s="105" t="str">
        <f t="shared" si="14"/>
        <v/>
      </c>
      <c r="E935" s="89"/>
    </row>
    <row r="936" spans="1:5">
      <c r="A936" s="89" t="s">
        <v>766</v>
      </c>
      <c r="B936" s="290">
        <v>26930</v>
      </c>
      <c r="C936" s="291">
        <v>0</v>
      </c>
      <c r="D936" s="105">
        <f t="shared" si="14"/>
        <v>0</v>
      </c>
      <c r="E936" s="89"/>
    </row>
    <row r="937" spans="1:5">
      <c r="A937" s="89" t="s">
        <v>767</v>
      </c>
      <c r="B937" s="290">
        <v>262951</v>
      </c>
      <c r="C937" s="289">
        <v>67788</v>
      </c>
      <c r="D937" s="105">
        <f t="shared" si="14"/>
        <v>0.25800000000000001</v>
      </c>
      <c r="E937" s="89"/>
    </row>
    <row r="938" spans="1:5">
      <c r="A938" s="89" t="s">
        <v>59</v>
      </c>
      <c r="B938" s="290">
        <v>0</v>
      </c>
      <c r="C938" s="291">
        <v>0</v>
      </c>
      <c r="D938" s="105" t="str">
        <f t="shared" si="14"/>
        <v/>
      </c>
      <c r="E938" s="89"/>
    </row>
    <row r="939" spans="1:5">
      <c r="A939" s="89" t="s">
        <v>60</v>
      </c>
      <c r="B939" s="290">
        <v>0</v>
      </c>
      <c r="C939" s="291">
        <v>0</v>
      </c>
      <c r="D939" s="105" t="str">
        <f t="shared" si="14"/>
        <v/>
      </c>
      <c r="E939" s="89"/>
    </row>
    <row r="940" spans="1:5">
      <c r="A940" s="89" t="s">
        <v>61</v>
      </c>
      <c r="B940" s="290">
        <v>0</v>
      </c>
      <c r="C940" s="291">
        <v>0</v>
      </c>
      <c r="D940" s="105" t="str">
        <f t="shared" si="14"/>
        <v/>
      </c>
      <c r="E940" s="89"/>
    </row>
    <row r="941" spans="1:5">
      <c r="A941" s="89" t="s">
        <v>768</v>
      </c>
      <c r="B941" s="290">
        <v>214294</v>
      </c>
      <c r="C941" s="291">
        <v>31318</v>
      </c>
      <c r="D941" s="105">
        <f t="shared" si="14"/>
        <v>0.14599999999999999</v>
      </c>
      <c r="E941" s="89"/>
    </row>
    <row r="942" spans="1:5">
      <c r="A942" s="89" t="s">
        <v>769</v>
      </c>
      <c r="B942" s="290">
        <v>0</v>
      </c>
      <c r="C942" s="291">
        <v>0</v>
      </c>
      <c r="D942" s="105" t="str">
        <f t="shared" si="14"/>
        <v/>
      </c>
      <c r="E942" s="89"/>
    </row>
    <row r="943" spans="1:5">
      <c r="A943" s="89" t="s">
        <v>770</v>
      </c>
      <c r="B943" s="290">
        <v>0</v>
      </c>
      <c r="C943" s="291">
        <v>0</v>
      </c>
      <c r="D943" s="105" t="str">
        <f t="shared" si="14"/>
        <v/>
      </c>
      <c r="E943" s="89"/>
    </row>
    <row r="944" spans="1:5">
      <c r="A944" s="89" t="s">
        <v>771</v>
      </c>
      <c r="B944" s="290">
        <v>0</v>
      </c>
      <c r="C944" s="291">
        <v>0</v>
      </c>
      <c r="D944" s="105" t="str">
        <f t="shared" si="14"/>
        <v/>
      </c>
      <c r="E944" s="89"/>
    </row>
    <row r="945" spans="1:5">
      <c r="A945" s="89" t="s">
        <v>772</v>
      </c>
      <c r="B945" s="290">
        <v>4012</v>
      </c>
      <c r="C945" s="291">
        <v>5364</v>
      </c>
      <c r="D945" s="105">
        <f t="shared" si="14"/>
        <v>1.337</v>
      </c>
      <c r="E945" s="89"/>
    </row>
    <row r="946" spans="1:5">
      <c r="A946" s="89" t="s">
        <v>773</v>
      </c>
      <c r="B946" s="290">
        <v>44645</v>
      </c>
      <c r="C946" s="289">
        <v>31106</v>
      </c>
      <c r="D946" s="105">
        <f t="shared" si="14"/>
        <v>0.69699999999999995</v>
      </c>
      <c r="E946" s="89"/>
    </row>
    <row r="947" spans="1:5">
      <c r="A947" s="89" t="s">
        <v>774</v>
      </c>
      <c r="B947" s="290">
        <v>57271</v>
      </c>
      <c r="C947" s="291">
        <v>56607</v>
      </c>
      <c r="D947" s="105">
        <f t="shared" si="14"/>
        <v>0.98799999999999999</v>
      </c>
      <c r="E947" s="89"/>
    </row>
    <row r="948" spans="1:5">
      <c r="A948" s="89" t="s">
        <v>775</v>
      </c>
      <c r="B948" s="290">
        <v>10468</v>
      </c>
      <c r="C948" s="291">
        <v>1712</v>
      </c>
      <c r="D948" s="105">
        <f t="shared" si="14"/>
        <v>0.16400000000000001</v>
      </c>
      <c r="E948" s="89"/>
    </row>
    <row r="949" spans="1:5">
      <c r="A949" s="89" t="s">
        <v>776</v>
      </c>
      <c r="B949" s="290">
        <v>40742</v>
      </c>
      <c r="C949" s="291">
        <v>52709</v>
      </c>
      <c r="D949" s="105">
        <f t="shared" si="14"/>
        <v>1.294</v>
      </c>
      <c r="E949" s="89"/>
    </row>
    <row r="950" spans="1:5">
      <c r="A950" s="89" t="s">
        <v>777</v>
      </c>
      <c r="B950" s="290">
        <v>0</v>
      </c>
      <c r="C950" s="291">
        <v>0</v>
      </c>
      <c r="D950" s="105" t="str">
        <f t="shared" si="14"/>
        <v/>
      </c>
      <c r="E950" s="89"/>
    </row>
    <row r="951" spans="1:5">
      <c r="A951" s="89" t="s">
        <v>778</v>
      </c>
      <c r="B951" s="290">
        <v>6061</v>
      </c>
      <c r="C951" s="291">
        <v>2186</v>
      </c>
      <c r="D951" s="105">
        <f t="shared" si="14"/>
        <v>0.36099999999999999</v>
      </c>
      <c r="E951" s="89"/>
    </row>
    <row r="952" spans="1:5">
      <c r="A952" s="89" t="s">
        <v>779</v>
      </c>
      <c r="B952" s="290">
        <v>418</v>
      </c>
      <c r="C952" s="289">
        <v>382</v>
      </c>
      <c r="D952" s="105">
        <f t="shared" si="14"/>
        <v>0.91400000000000003</v>
      </c>
      <c r="E952" s="89"/>
    </row>
    <row r="953" spans="1:5">
      <c r="A953" s="89" t="s">
        <v>59</v>
      </c>
      <c r="B953" s="290">
        <v>27</v>
      </c>
      <c r="C953" s="291">
        <v>64</v>
      </c>
      <c r="D953" s="105">
        <f t="shared" si="14"/>
        <v>2.37</v>
      </c>
      <c r="E953" s="89"/>
    </row>
    <row r="954" spans="1:5">
      <c r="A954" s="89" t="s">
        <v>60</v>
      </c>
      <c r="B954" s="290">
        <v>48</v>
      </c>
      <c r="C954" s="291">
        <v>0</v>
      </c>
      <c r="D954" s="105">
        <f t="shared" si="14"/>
        <v>0</v>
      </c>
      <c r="E954" s="89"/>
    </row>
    <row r="955" spans="1:5">
      <c r="A955" s="89" t="s">
        <v>61</v>
      </c>
      <c r="B955" s="290">
        <v>0</v>
      </c>
      <c r="C955" s="291">
        <v>0</v>
      </c>
      <c r="D955" s="105" t="str">
        <f t="shared" si="14"/>
        <v/>
      </c>
      <c r="E955" s="89"/>
    </row>
    <row r="956" spans="1:5">
      <c r="A956" s="89" t="s">
        <v>765</v>
      </c>
      <c r="B956" s="290">
        <v>77</v>
      </c>
      <c r="C956" s="289">
        <v>83</v>
      </c>
      <c r="D956" s="105">
        <f t="shared" si="14"/>
        <v>1.0780000000000001</v>
      </c>
      <c r="E956" s="89"/>
    </row>
    <row r="957" spans="1:5">
      <c r="A957" s="89" t="s">
        <v>780</v>
      </c>
      <c r="B957" s="290">
        <v>0</v>
      </c>
      <c r="C957" s="291">
        <v>0</v>
      </c>
      <c r="D957" s="105" t="str">
        <f t="shared" si="14"/>
        <v/>
      </c>
      <c r="E957" s="89"/>
    </row>
    <row r="958" spans="1:5">
      <c r="A958" s="89" t="s">
        <v>781</v>
      </c>
      <c r="B958" s="290">
        <v>266</v>
      </c>
      <c r="C958" s="289">
        <v>235</v>
      </c>
      <c r="D958" s="105">
        <f t="shared" si="14"/>
        <v>0.88300000000000001</v>
      </c>
      <c r="E958" s="89"/>
    </row>
    <row r="959" spans="1:5">
      <c r="A959" s="89" t="s">
        <v>782</v>
      </c>
      <c r="B959" s="290">
        <v>1681035</v>
      </c>
      <c r="C959" s="289">
        <v>1663484</v>
      </c>
      <c r="D959" s="105">
        <f t="shared" si="14"/>
        <v>0.99</v>
      </c>
      <c r="E959" s="89"/>
    </row>
    <row r="960" spans="1:5">
      <c r="A960" s="89" t="s">
        <v>783</v>
      </c>
      <c r="B960" s="290">
        <v>1528038</v>
      </c>
      <c r="C960" s="289">
        <v>1653932</v>
      </c>
      <c r="D960" s="105">
        <f t="shared" si="14"/>
        <v>1.0820000000000001</v>
      </c>
      <c r="E960" s="89"/>
    </row>
    <row r="961" spans="1:5">
      <c r="A961" s="89" t="s">
        <v>784</v>
      </c>
      <c r="B961" s="290">
        <v>133849</v>
      </c>
      <c r="C961" s="291">
        <v>7624</v>
      </c>
      <c r="D961" s="105">
        <f t="shared" si="14"/>
        <v>5.7000000000000002E-2</v>
      </c>
      <c r="E961" s="89"/>
    </row>
    <row r="962" spans="1:5">
      <c r="A962" s="89" t="s">
        <v>785</v>
      </c>
      <c r="B962" s="290">
        <v>0</v>
      </c>
      <c r="C962" s="291">
        <v>0</v>
      </c>
      <c r="D962" s="105" t="str">
        <f t="shared" si="14"/>
        <v/>
      </c>
      <c r="E962" s="89"/>
    </row>
    <row r="963" spans="1:5">
      <c r="A963" s="89" t="s">
        <v>786</v>
      </c>
      <c r="B963" s="290">
        <v>19148</v>
      </c>
      <c r="C963" s="291">
        <v>1928</v>
      </c>
      <c r="D963" s="105">
        <f t="shared" si="14"/>
        <v>0.10100000000000001</v>
      </c>
      <c r="E963" s="89"/>
    </row>
    <row r="964" spans="1:5">
      <c r="A964" s="89" t="s">
        <v>787</v>
      </c>
      <c r="B964" s="290">
        <v>135288</v>
      </c>
      <c r="C964" s="291">
        <v>120830</v>
      </c>
      <c r="D964" s="105">
        <f t="shared" si="14"/>
        <v>0.89300000000000002</v>
      </c>
      <c r="E964" s="89"/>
    </row>
    <row r="965" spans="1:5">
      <c r="A965" s="89" t="s">
        <v>788</v>
      </c>
      <c r="B965" s="290">
        <v>81249</v>
      </c>
      <c r="C965" s="291">
        <v>80749</v>
      </c>
      <c r="D965" s="105">
        <f t="shared" ref="D965:D1028" si="15">IF(B965=0,"",ROUND(C965/B965,3))</f>
        <v>0.99399999999999999</v>
      </c>
      <c r="E965" s="89"/>
    </row>
    <row r="966" spans="1:5">
      <c r="A966" s="89" t="s">
        <v>789</v>
      </c>
      <c r="B966" s="290">
        <v>54039</v>
      </c>
      <c r="C966" s="291">
        <v>40081</v>
      </c>
      <c r="D966" s="105">
        <f t="shared" si="15"/>
        <v>0.74199999999999999</v>
      </c>
      <c r="E966" s="89"/>
    </row>
    <row r="967" spans="1:5">
      <c r="A967" s="89" t="s">
        <v>790</v>
      </c>
      <c r="B967" s="290">
        <v>1461943</v>
      </c>
      <c r="C967" s="289">
        <v>795167</v>
      </c>
      <c r="D967" s="105">
        <f t="shared" si="15"/>
        <v>0.54400000000000004</v>
      </c>
      <c r="E967" s="89"/>
    </row>
    <row r="968" spans="1:5">
      <c r="A968" s="89" t="s">
        <v>791</v>
      </c>
      <c r="B968" s="290">
        <v>313806</v>
      </c>
      <c r="C968" s="289">
        <v>92290</v>
      </c>
      <c r="D968" s="105">
        <f t="shared" si="15"/>
        <v>0.29399999999999998</v>
      </c>
      <c r="E968" s="89"/>
    </row>
    <row r="969" spans="1:5">
      <c r="A969" s="89" t="s">
        <v>59</v>
      </c>
      <c r="B969" s="290">
        <v>344</v>
      </c>
      <c r="C969" s="291">
        <v>1139</v>
      </c>
      <c r="D969" s="105">
        <f t="shared" si="15"/>
        <v>3.3109999999999999</v>
      </c>
      <c r="E969" s="89"/>
    </row>
    <row r="970" spans="1:5">
      <c r="A970" s="89" t="s">
        <v>60</v>
      </c>
      <c r="B970" s="290">
        <v>8</v>
      </c>
      <c r="C970" s="291">
        <v>0</v>
      </c>
      <c r="D970" s="105">
        <f t="shared" si="15"/>
        <v>0</v>
      </c>
      <c r="E970" s="89"/>
    </row>
    <row r="971" spans="1:5">
      <c r="A971" s="89" t="s">
        <v>61</v>
      </c>
      <c r="B971" s="290">
        <v>0</v>
      </c>
      <c r="C971" s="291">
        <v>0</v>
      </c>
      <c r="D971" s="105" t="str">
        <f t="shared" si="15"/>
        <v/>
      </c>
      <c r="E971" s="89"/>
    </row>
    <row r="972" spans="1:5">
      <c r="A972" s="89" t="s">
        <v>792</v>
      </c>
      <c r="B972" s="290">
        <v>11514</v>
      </c>
      <c r="C972" s="289">
        <v>7415</v>
      </c>
      <c r="D972" s="105">
        <f t="shared" si="15"/>
        <v>0.64400000000000002</v>
      </c>
      <c r="E972" s="89"/>
    </row>
    <row r="973" spans="1:5">
      <c r="A973" s="89" t="s">
        <v>793</v>
      </c>
      <c r="B973" s="290">
        <v>0</v>
      </c>
      <c r="C973" s="291">
        <v>0</v>
      </c>
      <c r="D973" s="105" t="str">
        <f t="shared" si="15"/>
        <v/>
      </c>
      <c r="E973" s="89"/>
    </row>
    <row r="974" spans="1:5">
      <c r="A974" s="89" t="s">
        <v>794</v>
      </c>
      <c r="B974" s="290">
        <v>0</v>
      </c>
      <c r="C974" s="291">
        <v>0</v>
      </c>
      <c r="D974" s="105" t="str">
        <f t="shared" si="15"/>
        <v/>
      </c>
      <c r="E974" s="89"/>
    </row>
    <row r="975" spans="1:5">
      <c r="A975" s="89" t="s">
        <v>795</v>
      </c>
      <c r="B975" s="290">
        <v>4007</v>
      </c>
      <c r="C975" s="289">
        <v>3839</v>
      </c>
      <c r="D975" s="105">
        <f t="shared" si="15"/>
        <v>0.95799999999999996</v>
      </c>
      <c r="E975" s="89"/>
    </row>
    <row r="976" spans="1:5">
      <c r="A976" s="89" t="s">
        <v>796</v>
      </c>
      <c r="B976" s="290">
        <v>0</v>
      </c>
      <c r="C976" s="291">
        <v>0</v>
      </c>
      <c r="D976" s="105" t="str">
        <f t="shared" si="15"/>
        <v/>
      </c>
      <c r="E976" s="89"/>
    </row>
    <row r="977" spans="1:5">
      <c r="A977" s="89" t="s">
        <v>797</v>
      </c>
      <c r="B977" s="290">
        <v>297933</v>
      </c>
      <c r="C977" s="289">
        <v>79897</v>
      </c>
      <c r="D977" s="105">
        <f t="shared" si="15"/>
        <v>0.26800000000000002</v>
      </c>
      <c r="E977" s="89"/>
    </row>
    <row r="978" spans="1:5">
      <c r="A978" s="89" t="s">
        <v>798</v>
      </c>
      <c r="B978" s="290">
        <v>311114</v>
      </c>
      <c r="C978" s="289">
        <v>257770</v>
      </c>
      <c r="D978" s="105">
        <f t="shared" si="15"/>
        <v>0.82899999999999996</v>
      </c>
      <c r="E978" s="89"/>
    </row>
    <row r="979" spans="1:5">
      <c r="A979" s="89" t="s">
        <v>59</v>
      </c>
      <c r="B979" s="290">
        <v>997</v>
      </c>
      <c r="C979" s="291">
        <v>5391</v>
      </c>
      <c r="D979" s="105">
        <f t="shared" si="15"/>
        <v>5.407</v>
      </c>
      <c r="E979" s="89"/>
    </row>
    <row r="980" spans="1:5">
      <c r="A980" s="89" t="s">
        <v>60</v>
      </c>
      <c r="B980" s="290">
        <v>5970</v>
      </c>
      <c r="C980" s="291">
        <v>5105</v>
      </c>
      <c r="D980" s="105">
        <f t="shared" si="15"/>
        <v>0.85499999999999998</v>
      </c>
      <c r="E980" s="89"/>
    </row>
    <row r="981" spans="1:5">
      <c r="A981" s="89" t="s">
        <v>61</v>
      </c>
      <c r="B981" s="290">
        <v>0</v>
      </c>
      <c r="C981" s="291">
        <v>0</v>
      </c>
      <c r="D981" s="105" t="str">
        <f t="shared" si="15"/>
        <v/>
      </c>
      <c r="E981" s="89"/>
    </row>
    <row r="982" spans="1:5">
      <c r="A982" s="89" t="s">
        <v>799</v>
      </c>
      <c r="B982" s="290">
        <v>217481</v>
      </c>
      <c r="C982" s="289">
        <v>148183</v>
      </c>
      <c r="D982" s="105">
        <f t="shared" si="15"/>
        <v>0.68100000000000005</v>
      </c>
      <c r="E982" s="89"/>
    </row>
    <row r="983" spans="1:5">
      <c r="A983" s="89" t="s">
        <v>800</v>
      </c>
      <c r="B983" s="290">
        <v>2056</v>
      </c>
      <c r="C983" s="291">
        <v>0</v>
      </c>
      <c r="D983" s="105">
        <f t="shared" si="15"/>
        <v>0</v>
      </c>
      <c r="E983" s="89"/>
    </row>
    <row r="984" spans="1:5">
      <c r="A984" s="89" t="s">
        <v>801</v>
      </c>
      <c r="B984" s="290">
        <v>0</v>
      </c>
      <c r="C984" s="291">
        <v>0</v>
      </c>
      <c r="D984" s="105" t="str">
        <f t="shared" si="15"/>
        <v/>
      </c>
      <c r="E984" s="89"/>
    </row>
    <row r="985" spans="1:5">
      <c r="A985" s="89" t="s">
        <v>802</v>
      </c>
      <c r="B985" s="290">
        <v>3</v>
      </c>
      <c r="C985" s="291">
        <v>0</v>
      </c>
      <c r="D985" s="105">
        <f t="shared" si="15"/>
        <v>0</v>
      </c>
      <c r="E985" s="89"/>
    </row>
    <row r="986" spans="1:5">
      <c r="A986" s="89" t="s">
        <v>803</v>
      </c>
      <c r="B986" s="290">
        <v>0</v>
      </c>
      <c r="C986" s="291">
        <v>0</v>
      </c>
      <c r="D986" s="105" t="str">
        <f t="shared" si="15"/>
        <v/>
      </c>
      <c r="E986" s="89"/>
    </row>
    <row r="987" spans="1:5">
      <c r="A987" s="89" t="s">
        <v>804</v>
      </c>
      <c r="B987" s="290">
        <v>0</v>
      </c>
      <c r="C987" s="291">
        <v>0</v>
      </c>
      <c r="D987" s="105" t="str">
        <f t="shared" si="15"/>
        <v/>
      </c>
      <c r="E987" s="89"/>
    </row>
    <row r="988" spans="1:5">
      <c r="A988" s="89" t="s">
        <v>805</v>
      </c>
      <c r="B988" s="290">
        <v>0</v>
      </c>
      <c r="C988" s="291">
        <v>0</v>
      </c>
      <c r="D988" s="105" t="str">
        <f t="shared" si="15"/>
        <v/>
      </c>
      <c r="E988" s="89"/>
    </row>
    <row r="989" spans="1:5">
      <c r="A989" s="89" t="s">
        <v>806</v>
      </c>
      <c r="B989" s="290">
        <v>0</v>
      </c>
      <c r="C989" s="291">
        <v>0</v>
      </c>
      <c r="D989" s="105" t="str">
        <f t="shared" si="15"/>
        <v/>
      </c>
      <c r="E989" s="89"/>
    </row>
    <row r="990" spans="1:5">
      <c r="A990" s="89" t="s">
        <v>807</v>
      </c>
      <c r="B990" s="290">
        <v>0</v>
      </c>
      <c r="C990" s="291">
        <v>0</v>
      </c>
      <c r="D990" s="105" t="str">
        <f t="shared" si="15"/>
        <v/>
      </c>
      <c r="E990" s="89"/>
    </row>
    <row r="991" spans="1:5">
      <c r="A991" s="89" t="s">
        <v>808</v>
      </c>
      <c r="B991" s="290">
        <v>0</v>
      </c>
      <c r="C991" s="291">
        <v>0</v>
      </c>
      <c r="D991" s="105" t="str">
        <f t="shared" si="15"/>
        <v/>
      </c>
      <c r="E991" s="89"/>
    </row>
    <row r="992" spans="1:5">
      <c r="A992" s="89" t="s">
        <v>809</v>
      </c>
      <c r="B992" s="290">
        <v>0</v>
      </c>
      <c r="C992" s="291">
        <v>0</v>
      </c>
      <c r="D992" s="105" t="str">
        <f t="shared" si="15"/>
        <v/>
      </c>
      <c r="E992" s="89"/>
    </row>
    <row r="993" spans="1:5">
      <c r="A993" s="89" t="s">
        <v>810</v>
      </c>
      <c r="B993" s="290">
        <v>84607</v>
      </c>
      <c r="C993" s="291">
        <v>99091</v>
      </c>
      <c r="D993" s="105">
        <f t="shared" si="15"/>
        <v>1.171</v>
      </c>
      <c r="E993" s="89"/>
    </row>
    <row r="994" spans="1:5">
      <c r="A994" s="89" t="s">
        <v>811</v>
      </c>
      <c r="B994" s="290">
        <v>449</v>
      </c>
      <c r="C994" s="291">
        <v>449</v>
      </c>
      <c r="D994" s="105">
        <f t="shared" si="15"/>
        <v>1</v>
      </c>
      <c r="E994" s="89"/>
    </row>
    <row r="995" spans="1:5">
      <c r="A995" s="89" t="s">
        <v>59</v>
      </c>
      <c r="B995" s="290">
        <v>261</v>
      </c>
      <c r="C995" s="291">
        <v>261</v>
      </c>
      <c r="D995" s="105">
        <f t="shared" si="15"/>
        <v>1</v>
      </c>
      <c r="E995" s="89"/>
    </row>
    <row r="996" spans="1:5">
      <c r="A996" s="89" t="s">
        <v>60</v>
      </c>
      <c r="B996" s="290">
        <v>0</v>
      </c>
      <c r="C996" s="291">
        <v>0</v>
      </c>
      <c r="D996" s="105" t="str">
        <f t="shared" si="15"/>
        <v/>
      </c>
      <c r="E996" s="89"/>
    </row>
    <row r="997" spans="1:5">
      <c r="A997" s="89" t="s">
        <v>61</v>
      </c>
      <c r="B997" s="290">
        <v>0</v>
      </c>
      <c r="C997" s="291">
        <v>0</v>
      </c>
      <c r="D997" s="105" t="str">
        <f t="shared" si="15"/>
        <v/>
      </c>
      <c r="E997" s="89"/>
    </row>
    <row r="998" spans="1:5">
      <c r="A998" s="89" t="s">
        <v>812</v>
      </c>
      <c r="B998" s="290">
        <v>188</v>
      </c>
      <c r="C998" s="291">
        <v>188</v>
      </c>
      <c r="D998" s="105">
        <f t="shared" si="15"/>
        <v>1</v>
      </c>
      <c r="E998" s="89"/>
    </row>
    <row r="999" spans="1:5">
      <c r="A999" s="89" t="s">
        <v>813</v>
      </c>
      <c r="B999" s="290">
        <v>75774</v>
      </c>
      <c r="C999" s="289">
        <v>35476</v>
      </c>
      <c r="D999" s="105">
        <f t="shared" si="15"/>
        <v>0.46800000000000003</v>
      </c>
      <c r="E999" s="89"/>
    </row>
    <row r="1000" spans="1:5">
      <c r="A1000" s="89" t="s">
        <v>59</v>
      </c>
      <c r="B1000" s="290">
        <v>5239</v>
      </c>
      <c r="C1000" s="291">
        <v>7238</v>
      </c>
      <c r="D1000" s="105">
        <f t="shared" si="15"/>
        <v>1.3819999999999999</v>
      </c>
      <c r="E1000" s="89"/>
    </row>
    <row r="1001" spans="1:5">
      <c r="A1001" s="89" t="s">
        <v>60</v>
      </c>
      <c r="B1001" s="290">
        <v>3928</v>
      </c>
      <c r="C1001" s="291">
        <v>3958</v>
      </c>
      <c r="D1001" s="105">
        <f t="shared" si="15"/>
        <v>1.008</v>
      </c>
      <c r="E1001" s="89"/>
    </row>
    <row r="1002" spans="1:5">
      <c r="A1002" s="89" t="s">
        <v>61</v>
      </c>
      <c r="B1002" s="290">
        <v>0</v>
      </c>
      <c r="C1002" s="291">
        <v>0</v>
      </c>
      <c r="D1002" s="105" t="str">
        <f t="shared" si="15"/>
        <v/>
      </c>
      <c r="E1002" s="89"/>
    </row>
    <row r="1003" spans="1:5">
      <c r="A1003" s="89" t="s">
        <v>814</v>
      </c>
      <c r="B1003" s="290">
        <v>0</v>
      </c>
      <c r="C1003" s="291">
        <v>0</v>
      </c>
      <c r="D1003" s="105" t="str">
        <f t="shared" si="15"/>
        <v/>
      </c>
      <c r="E1003" s="89"/>
    </row>
    <row r="1004" spans="1:5">
      <c r="A1004" s="89" t="s">
        <v>815</v>
      </c>
      <c r="B1004" s="290">
        <v>0</v>
      </c>
      <c r="C1004" s="291">
        <v>0</v>
      </c>
      <c r="D1004" s="105" t="str">
        <f t="shared" si="15"/>
        <v/>
      </c>
      <c r="E1004" s="89"/>
    </row>
    <row r="1005" spans="1:5">
      <c r="A1005" s="89" t="s">
        <v>816</v>
      </c>
      <c r="B1005" s="290">
        <v>41669</v>
      </c>
      <c r="C1005" s="289">
        <v>19751</v>
      </c>
      <c r="D1005" s="105">
        <f t="shared" si="15"/>
        <v>0.47399999999999998</v>
      </c>
      <c r="E1005" s="89"/>
    </row>
    <row r="1006" spans="1:5">
      <c r="A1006" s="89" t="s">
        <v>817</v>
      </c>
      <c r="B1006" s="290">
        <v>0</v>
      </c>
      <c r="C1006" s="291">
        <v>0</v>
      </c>
      <c r="D1006" s="105" t="str">
        <f t="shared" si="15"/>
        <v/>
      </c>
      <c r="E1006" s="89"/>
    </row>
    <row r="1007" spans="1:5">
      <c r="A1007" s="89" t="s">
        <v>818</v>
      </c>
      <c r="B1007" s="290">
        <v>18418</v>
      </c>
      <c r="C1007" s="289">
        <v>1506</v>
      </c>
      <c r="D1007" s="105">
        <f t="shared" si="15"/>
        <v>8.2000000000000003E-2</v>
      </c>
      <c r="E1007" s="89"/>
    </row>
    <row r="1008" spans="1:5">
      <c r="A1008" s="89" t="s">
        <v>68</v>
      </c>
      <c r="B1008" s="290">
        <v>0</v>
      </c>
      <c r="C1008" s="289">
        <v>1154</v>
      </c>
      <c r="D1008" s="105" t="str">
        <f t="shared" si="15"/>
        <v/>
      </c>
      <c r="E1008" s="89"/>
    </row>
    <row r="1009" spans="1:5">
      <c r="A1009" s="89" t="s">
        <v>819</v>
      </c>
      <c r="B1009" s="290">
        <v>6520</v>
      </c>
      <c r="C1009" s="289">
        <v>1869</v>
      </c>
      <c r="D1009" s="105">
        <f t="shared" si="15"/>
        <v>0.28699999999999998</v>
      </c>
      <c r="E1009" s="89"/>
    </row>
    <row r="1010" spans="1:5">
      <c r="A1010" s="89" t="s">
        <v>820</v>
      </c>
      <c r="B1010" s="290">
        <v>73984</v>
      </c>
      <c r="C1010" s="289">
        <v>62604</v>
      </c>
      <c r="D1010" s="105">
        <f t="shared" si="15"/>
        <v>0.84599999999999997</v>
      </c>
      <c r="E1010" s="89"/>
    </row>
    <row r="1011" spans="1:5">
      <c r="A1011" s="89" t="s">
        <v>59</v>
      </c>
      <c r="B1011" s="290">
        <v>5896</v>
      </c>
      <c r="C1011" s="289">
        <v>5484</v>
      </c>
      <c r="D1011" s="105">
        <f t="shared" si="15"/>
        <v>0.93</v>
      </c>
      <c r="E1011" s="89"/>
    </row>
    <row r="1012" spans="1:5">
      <c r="A1012" s="89" t="s">
        <v>60</v>
      </c>
      <c r="B1012" s="290">
        <v>3819</v>
      </c>
      <c r="C1012" s="291">
        <v>3119</v>
      </c>
      <c r="D1012" s="105">
        <f t="shared" si="15"/>
        <v>0.81699999999999995</v>
      </c>
      <c r="E1012" s="89"/>
    </row>
    <row r="1013" spans="1:5">
      <c r="A1013" s="89" t="s">
        <v>61</v>
      </c>
      <c r="B1013" s="290">
        <v>410</v>
      </c>
      <c r="C1013" s="289">
        <v>191</v>
      </c>
      <c r="D1013" s="105">
        <f t="shared" si="15"/>
        <v>0.46600000000000003</v>
      </c>
      <c r="E1013" s="89"/>
    </row>
    <row r="1014" spans="1:5">
      <c r="A1014" s="89" t="s">
        <v>821</v>
      </c>
      <c r="B1014" s="290">
        <v>0</v>
      </c>
      <c r="C1014" s="291">
        <v>0</v>
      </c>
      <c r="D1014" s="105" t="str">
        <f t="shared" si="15"/>
        <v/>
      </c>
      <c r="E1014" s="89"/>
    </row>
    <row r="1015" spans="1:5">
      <c r="A1015" s="89" t="s">
        <v>822</v>
      </c>
      <c r="B1015" s="290">
        <v>0</v>
      </c>
      <c r="C1015" s="291">
        <v>0</v>
      </c>
      <c r="D1015" s="105" t="str">
        <f t="shared" si="15"/>
        <v/>
      </c>
      <c r="E1015" s="89"/>
    </row>
    <row r="1016" spans="1:5">
      <c r="A1016" s="89" t="s">
        <v>823</v>
      </c>
      <c r="B1016" s="290">
        <v>63859</v>
      </c>
      <c r="C1016" s="289">
        <v>53810</v>
      </c>
      <c r="D1016" s="105">
        <f t="shared" si="15"/>
        <v>0.84299999999999997</v>
      </c>
      <c r="E1016" s="89"/>
    </row>
    <row r="1017" spans="1:5">
      <c r="A1017" s="89" t="s">
        <v>824</v>
      </c>
      <c r="B1017" s="290">
        <v>683193</v>
      </c>
      <c r="C1017" s="289">
        <v>346484</v>
      </c>
      <c r="D1017" s="105">
        <f t="shared" si="15"/>
        <v>0.50700000000000001</v>
      </c>
      <c r="E1017" s="89"/>
    </row>
    <row r="1018" spans="1:5">
      <c r="A1018" s="89" t="s">
        <v>59</v>
      </c>
      <c r="B1018" s="290">
        <v>62</v>
      </c>
      <c r="C1018" s="291">
        <v>50</v>
      </c>
      <c r="D1018" s="105">
        <f t="shared" si="15"/>
        <v>0.80600000000000005</v>
      </c>
      <c r="E1018" s="89"/>
    </row>
    <row r="1019" spans="1:5">
      <c r="A1019" s="89" t="s">
        <v>60</v>
      </c>
      <c r="B1019" s="290">
        <v>0</v>
      </c>
      <c r="C1019" s="291">
        <v>200</v>
      </c>
      <c r="D1019" s="105" t="str">
        <f t="shared" si="15"/>
        <v/>
      </c>
      <c r="E1019" s="89"/>
    </row>
    <row r="1020" spans="1:5">
      <c r="A1020" s="89" t="s">
        <v>61</v>
      </c>
      <c r="B1020" s="290">
        <v>335</v>
      </c>
      <c r="C1020" s="291">
        <v>400</v>
      </c>
      <c r="D1020" s="105">
        <f t="shared" si="15"/>
        <v>1.194</v>
      </c>
      <c r="E1020" s="89"/>
    </row>
    <row r="1021" spans="1:5">
      <c r="A1021" s="89" t="s">
        <v>825</v>
      </c>
      <c r="B1021" s="290">
        <v>2460</v>
      </c>
      <c r="C1021" s="291">
        <v>81</v>
      </c>
      <c r="D1021" s="105">
        <f t="shared" si="15"/>
        <v>3.3000000000000002E-2</v>
      </c>
      <c r="E1021" s="89"/>
    </row>
    <row r="1022" spans="1:5">
      <c r="A1022" s="89" t="s">
        <v>826</v>
      </c>
      <c r="B1022" s="290">
        <v>53551</v>
      </c>
      <c r="C1022" s="289">
        <v>26883</v>
      </c>
      <c r="D1022" s="105">
        <f t="shared" si="15"/>
        <v>0.502</v>
      </c>
      <c r="E1022" s="89"/>
    </row>
    <row r="1023" spans="1:5">
      <c r="A1023" s="89" t="s">
        <v>827</v>
      </c>
      <c r="B1023" s="290">
        <v>139031</v>
      </c>
      <c r="C1023" s="291">
        <v>220</v>
      </c>
      <c r="D1023" s="105">
        <f t="shared" si="15"/>
        <v>2E-3</v>
      </c>
      <c r="E1023" s="89"/>
    </row>
    <row r="1024" spans="1:5">
      <c r="A1024" s="89" t="s">
        <v>828</v>
      </c>
      <c r="B1024" s="290">
        <v>487754</v>
      </c>
      <c r="C1024" s="289">
        <v>318650</v>
      </c>
      <c r="D1024" s="105">
        <f t="shared" si="15"/>
        <v>0.65300000000000002</v>
      </c>
      <c r="E1024" s="89"/>
    </row>
    <row r="1025" spans="1:5">
      <c r="A1025" s="89" t="s">
        <v>829</v>
      </c>
      <c r="B1025" s="290">
        <v>3623</v>
      </c>
      <c r="C1025" s="289">
        <v>94</v>
      </c>
      <c r="D1025" s="105">
        <f t="shared" si="15"/>
        <v>2.5999999999999999E-2</v>
      </c>
      <c r="E1025" s="89"/>
    </row>
    <row r="1026" spans="1:5">
      <c r="A1026" s="89" t="s">
        <v>830</v>
      </c>
      <c r="B1026" s="290">
        <v>0</v>
      </c>
      <c r="C1026" s="291">
        <v>0</v>
      </c>
      <c r="D1026" s="105" t="str">
        <f t="shared" si="15"/>
        <v/>
      </c>
      <c r="E1026" s="89"/>
    </row>
    <row r="1027" spans="1:5">
      <c r="A1027" s="89" t="s">
        <v>831</v>
      </c>
      <c r="B1027" s="290">
        <v>0</v>
      </c>
      <c r="C1027" s="291">
        <v>0</v>
      </c>
      <c r="D1027" s="105" t="str">
        <f t="shared" si="15"/>
        <v/>
      </c>
      <c r="E1027" s="89"/>
    </row>
    <row r="1028" spans="1:5">
      <c r="A1028" s="89" t="s">
        <v>832</v>
      </c>
      <c r="B1028" s="290">
        <v>0</v>
      </c>
      <c r="C1028" s="291">
        <v>0</v>
      </c>
      <c r="D1028" s="105" t="str">
        <f t="shared" si="15"/>
        <v/>
      </c>
      <c r="E1028" s="89"/>
    </row>
    <row r="1029" spans="1:5">
      <c r="A1029" s="89" t="s">
        <v>833</v>
      </c>
      <c r="B1029" s="290">
        <v>0</v>
      </c>
      <c r="C1029" s="291">
        <v>0</v>
      </c>
      <c r="D1029" s="105" t="str">
        <f t="shared" ref="D1029:D1092" si="16">IF(B1029=0,"",ROUND(C1029/B1029,3))</f>
        <v/>
      </c>
      <c r="E1029" s="89"/>
    </row>
    <row r="1030" spans="1:5">
      <c r="A1030" s="89" t="s">
        <v>834</v>
      </c>
      <c r="B1030" s="290">
        <v>3623</v>
      </c>
      <c r="C1030" s="289">
        <v>94</v>
      </c>
      <c r="D1030" s="105">
        <f t="shared" si="16"/>
        <v>2.5999999999999999E-2</v>
      </c>
      <c r="E1030" s="89"/>
    </row>
    <row r="1031" spans="1:5">
      <c r="A1031" s="89" t="s">
        <v>835</v>
      </c>
      <c r="B1031" s="290">
        <v>341609</v>
      </c>
      <c r="C1031" s="289">
        <v>219947</v>
      </c>
      <c r="D1031" s="105">
        <f t="shared" si="16"/>
        <v>0.64400000000000002</v>
      </c>
      <c r="E1031" s="89"/>
    </row>
    <row r="1032" spans="1:5">
      <c r="A1032" s="89" t="s">
        <v>836</v>
      </c>
      <c r="B1032" s="290">
        <v>274192</v>
      </c>
      <c r="C1032" s="289">
        <v>186732</v>
      </c>
      <c r="D1032" s="105">
        <f t="shared" si="16"/>
        <v>0.68100000000000005</v>
      </c>
      <c r="E1032" s="89"/>
    </row>
    <row r="1033" spans="1:5">
      <c r="A1033" s="89" t="s">
        <v>59</v>
      </c>
      <c r="B1033" s="290">
        <v>5802</v>
      </c>
      <c r="C1033" s="289">
        <v>5384</v>
      </c>
      <c r="D1033" s="105">
        <f t="shared" si="16"/>
        <v>0.92800000000000005</v>
      </c>
      <c r="E1033" s="89"/>
    </row>
    <row r="1034" spans="1:5">
      <c r="A1034" s="89" t="s">
        <v>60</v>
      </c>
      <c r="B1034" s="290">
        <v>325</v>
      </c>
      <c r="C1034" s="289">
        <v>118</v>
      </c>
      <c r="D1034" s="105">
        <f t="shared" si="16"/>
        <v>0.36299999999999999</v>
      </c>
      <c r="E1034" s="89"/>
    </row>
    <row r="1035" spans="1:5">
      <c r="A1035" s="89" t="s">
        <v>61</v>
      </c>
      <c r="B1035" s="290">
        <v>54</v>
      </c>
      <c r="C1035" s="291">
        <v>0</v>
      </c>
      <c r="D1035" s="105">
        <f t="shared" si="16"/>
        <v>0</v>
      </c>
      <c r="E1035" s="89"/>
    </row>
    <row r="1036" spans="1:5">
      <c r="A1036" s="89" t="s">
        <v>837</v>
      </c>
      <c r="B1036" s="290">
        <v>3</v>
      </c>
      <c r="C1036" s="291">
        <v>0</v>
      </c>
      <c r="D1036" s="105">
        <f t="shared" si="16"/>
        <v>0</v>
      </c>
      <c r="E1036" s="89"/>
    </row>
    <row r="1037" spans="1:5">
      <c r="A1037" s="89" t="s">
        <v>838</v>
      </c>
      <c r="B1037" s="290">
        <v>0</v>
      </c>
      <c r="C1037" s="291">
        <v>0</v>
      </c>
      <c r="D1037" s="105" t="str">
        <f t="shared" si="16"/>
        <v/>
      </c>
      <c r="E1037" s="89"/>
    </row>
    <row r="1038" spans="1:5">
      <c r="A1038" s="89" t="s">
        <v>839</v>
      </c>
      <c r="B1038" s="290">
        <v>35</v>
      </c>
      <c r="C1038" s="291">
        <v>5</v>
      </c>
      <c r="D1038" s="105">
        <f t="shared" si="16"/>
        <v>0.14299999999999999</v>
      </c>
      <c r="E1038" s="89"/>
    </row>
    <row r="1039" spans="1:5">
      <c r="A1039" s="89" t="s">
        <v>840</v>
      </c>
      <c r="B1039" s="290">
        <v>19014</v>
      </c>
      <c r="C1039" s="289">
        <v>2108</v>
      </c>
      <c r="D1039" s="105">
        <f t="shared" si="16"/>
        <v>0.111</v>
      </c>
      <c r="E1039" s="89"/>
    </row>
    <row r="1040" spans="1:5">
      <c r="A1040" s="89" t="s">
        <v>68</v>
      </c>
      <c r="B1040" s="290">
        <v>6183</v>
      </c>
      <c r="C1040" s="291">
        <v>4609</v>
      </c>
      <c r="D1040" s="105">
        <f t="shared" si="16"/>
        <v>0.745</v>
      </c>
      <c r="E1040" s="89"/>
    </row>
    <row r="1041" spans="1:5">
      <c r="A1041" s="89" t="s">
        <v>841</v>
      </c>
      <c r="B1041" s="290">
        <v>242776</v>
      </c>
      <c r="C1041" s="289">
        <v>174508</v>
      </c>
      <c r="D1041" s="105">
        <f t="shared" si="16"/>
        <v>0.71899999999999997</v>
      </c>
      <c r="E1041" s="89"/>
    </row>
    <row r="1042" spans="1:5">
      <c r="A1042" s="89" t="s">
        <v>842</v>
      </c>
      <c r="B1042" s="290">
        <v>55677</v>
      </c>
      <c r="C1042" s="291">
        <v>27713</v>
      </c>
      <c r="D1042" s="105">
        <f t="shared" si="16"/>
        <v>0.498</v>
      </c>
      <c r="E1042" s="89"/>
    </row>
    <row r="1043" spans="1:5">
      <c r="A1043" s="89" t="s">
        <v>59</v>
      </c>
      <c r="B1043" s="290">
        <v>293</v>
      </c>
      <c r="C1043" s="291">
        <v>276</v>
      </c>
      <c r="D1043" s="105">
        <f t="shared" si="16"/>
        <v>0.94199999999999995</v>
      </c>
      <c r="E1043" s="89"/>
    </row>
    <row r="1044" spans="1:5">
      <c r="A1044" s="89" t="s">
        <v>60</v>
      </c>
      <c r="B1044" s="290">
        <v>0</v>
      </c>
      <c r="C1044" s="291">
        <v>0</v>
      </c>
      <c r="D1044" s="105" t="str">
        <f t="shared" si="16"/>
        <v/>
      </c>
      <c r="E1044" s="89"/>
    </row>
    <row r="1045" spans="1:5">
      <c r="A1045" s="89" t="s">
        <v>61</v>
      </c>
      <c r="B1045" s="290">
        <v>0</v>
      </c>
      <c r="C1045" s="291">
        <v>0</v>
      </c>
      <c r="D1045" s="105" t="str">
        <f t="shared" si="16"/>
        <v/>
      </c>
      <c r="E1045" s="89"/>
    </row>
    <row r="1046" spans="1:5">
      <c r="A1046" s="89" t="s">
        <v>843</v>
      </c>
      <c r="B1046" s="290">
        <v>0</v>
      </c>
      <c r="C1046" s="291">
        <v>0</v>
      </c>
      <c r="D1046" s="105" t="str">
        <f t="shared" si="16"/>
        <v/>
      </c>
      <c r="E1046" s="89"/>
    </row>
    <row r="1047" spans="1:5">
      <c r="A1047" s="89" t="s">
        <v>844</v>
      </c>
      <c r="B1047" s="290">
        <v>55384</v>
      </c>
      <c r="C1047" s="291">
        <v>27437</v>
      </c>
      <c r="D1047" s="105">
        <f t="shared" si="16"/>
        <v>0.495</v>
      </c>
      <c r="E1047" s="89"/>
    </row>
    <row r="1048" spans="1:5">
      <c r="A1048" s="89" t="s">
        <v>845</v>
      </c>
      <c r="B1048" s="290">
        <v>11740</v>
      </c>
      <c r="C1048" s="289">
        <v>5502</v>
      </c>
      <c r="D1048" s="105">
        <f t="shared" si="16"/>
        <v>0.46899999999999997</v>
      </c>
      <c r="E1048" s="89"/>
    </row>
    <row r="1049" spans="1:5">
      <c r="A1049" s="89" t="s">
        <v>846</v>
      </c>
      <c r="B1049" s="290">
        <v>3981</v>
      </c>
      <c r="C1049" s="291">
        <v>228</v>
      </c>
      <c r="D1049" s="105">
        <f t="shared" si="16"/>
        <v>5.7000000000000002E-2</v>
      </c>
      <c r="E1049" s="89"/>
    </row>
    <row r="1050" spans="1:5">
      <c r="A1050" s="89" t="s">
        <v>847</v>
      </c>
      <c r="B1050" s="290">
        <v>7759</v>
      </c>
      <c r="C1050" s="289">
        <v>5274</v>
      </c>
      <c r="D1050" s="105">
        <f t="shared" si="16"/>
        <v>0.68</v>
      </c>
      <c r="E1050" s="89"/>
    </row>
    <row r="1051" spans="1:5">
      <c r="A1051" s="89" t="s">
        <v>848</v>
      </c>
      <c r="B1051" s="290">
        <v>19758</v>
      </c>
      <c r="C1051" s="289">
        <v>4384</v>
      </c>
      <c r="D1051" s="105">
        <f t="shared" si="16"/>
        <v>0.222</v>
      </c>
      <c r="E1051" s="89"/>
    </row>
    <row r="1052" spans="1:5">
      <c r="A1052" s="89" t="s">
        <v>849</v>
      </c>
      <c r="B1052" s="290">
        <v>59</v>
      </c>
      <c r="C1052" s="291">
        <v>13</v>
      </c>
      <c r="D1052" s="105">
        <f t="shared" si="16"/>
        <v>0.22</v>
      </c>
      <c r="E1052" s="89"/>
    </row>
    <row r="1053" spans="1:5">
      <c r="A1053" s="89" t="s">
        <v>59</v>
      </c>
      <c r="B1053" s="290">
        <v>50</v>
      </c>
      <c r="C1053" s="291">
        <v>10</v>
      </c>
      <c r="D1053" s="105">
        <f t="shared" si="16"/>
        <v>0.2</v>
      </c>
      <c r="E1053" s="89"/>
    </row>
    <row r="1054" spans="1:5">
      <c r="A1054" s="89" t="s">
        <v>60</v>
      </c>
      <c r="B1054" s="290">
        <v>0</v>
      </c>
      <c r="C1054" s="291">
        <v>3</v>
      </c>
      <c r="D1054" s="105" t="str">
        <f t="shared" si="16"/>
        <v/>
      </c>
      <c r="E1054" s="89"/>
    </row>
    <row r="1055" spans="1:5">
      <c r="A1055" s="89" t="s">
        <v>61</v>
      </c>
      <c r="B1055" s="290">
        <v>0</v>
      </c>
      <c r="C1055" s="291">
        <v>0</v>
      </c>
      <c r="D1055" s="105" t="str">
        <f t="shared" si="16"/>
        <v/>
      </c>
      <c r="E1055" s="89"/>
    </row>
    <row r="1056" spans="1:5">
      <c r="A1056" s="89" t="s">
        <v>850</v>
      </c>
      <c r="B1056" s="290">
        <v>0</v>
      </c>
      <c r="C1056" s="291">
        <v>0</v>
      </c>
      <c r="D1056" s="105" t="str">
        <f t="shared" si="16"/>
        <v/>
      </c>
      <c r="E1056" s="89"/>
    </row>
    <row r="1057" spans="1:5">
      <c r="A1057" s="89" t="s">
        <v>68</v>
      </c>
      <c r="B1057" s="290">
        <v>0</v>
      </c>
      <c r="C1057" s="291">
        <v>0</v>
      </c>
      <c r="D1057" s="105" t="str">
        <f t="shared" si="16"/>
        <v/>
      </c>
      <c r="E1057" s="89"/>
    </row>
    <row r="1058" spans="1:5">
      <c r="A1058" s="89" t="s">
        <v>851</v>
      </c>
      <c r="B1058" s="290">
        <v>9</v>
      </c>
      <c r="C1058" s="291">
        <v>0</v>
      </c>
      <c r="D1058" s="105">
        <f t="shared" si="16"/>
        <v>0</v>
      </c>
      <c r="E1058" s="89"/>
    </row>
    <row r="1059" spans="1:5">
      <c r="A1059" s="89" t="s">
        <v>852</v>
      </c>
      <c r="B1059" s="290">
        <v>53</v>
      </c>
      <c r="C1059" s="289">
        <v>97</v>
      </c>
      <c r="D1059" s="105">
        <f t="shared" si="16"/>
        <v>1.83</v>
      </c>
      <c r="E1059" s="89"/>
    </row>
    <row r="1060" spans="1:5">
      <c r="A1060" s="89" t="s">
        <v>853</v>
      </c>
      <c r="B1060" s="290">
        <v>0</v>
      </c>
      <c r="C1060" s="291">
        <v>0</v>
      </c>
      <c r="D1060" s="105" t="str">
        <f t="shared" si="16"/>
        <v/>
      </c>
      <c r="E1060" s="89"/>
    </row>
    <row r="1061" spans="1:5">
      <c r="A1061" s="89" t="s">
        <v>854</v>
      </c>
      <c r="B1061" s="290">
        <v>0</v>
      </c>
      <c r="C1061" s="291">
        <v>0</v>
      </c>
      <c r="D1061" s="105" t="str">
        <f t="shared" si="16"/>
        <v/>
      </c>
      <c r="E1061" s="89"/>
    </row>
    <row r="1062" spans="1:5">
      <c r="A1062" s="89" t="s">
        <v>855</v>
      </c>
      <c r="B1062" s="290">
        <v>0</v>
      </c>
      <c r="C1062" s="291">
        <v>0</v>
      </c>
      <c r="D1062" s="105" t="str">
        <f t="shared" si="16"/>
        <v/>
      </c>
      <c r="E1062" s="89"/>
    </row>
    <row r="1063" spans="1:5">
      <c r="A1063" s="89" t="s">
        <v>856</v>
      </c>
      <c r="B1063" s="290">
        <v>0</v>
      </c>
      <c r="C1063" s="291">
        <v>0</v>
      </c>
      <c r="D1063" s="105" t="str">
        <f t="shared" si="16"/>
        <v/>
      </c>
      <c r="E1063" s="89"/>
    </row>
    <row r="1064" spans="1:5">
      <c r="A1064" s="89" t="s">
        <v>857</v>
      </c>
      <c r="B1064" s="290">
        <v>0</v>
      </c>
      <c r="C1064" s="291">
        <v>0</v>
      </c>
      <c r="D1064" s="105" t="str">
        <f t="shared" si="16"/>
        <v/>
      </c>
      <c r="E1064" s="89"/>
    </row>
    <row r="1065" spans="1:5">
      <c r="A1065" s="89" t="s">
        <v>858</v>
      </c>
      <c r="B1065" s="290">
        <v>0</v>
      </c>
      <c r="C1065" s="291">
        <v>9</v>
      </c>
      <c r="D1065" s="105" t="str">
        <f t="shared" si="16"/>
        <v/>
      </c>
      <c r="E1065" s="89"/>
    </row>
    <row r="1066" spans="1:5">
      <c r="A1066" s="89" t="s">
        <v>859</v>
      </c>
      <c r="B1066" s="290">
        <v>0</v>
      </c>
      <c r="C1066" s="291">
        <v>0</v>
      </c>
      <c r="D1066" s="105" t="str">
        <f t="shared" si="16"/>
        <v/>
      </c>
      <c r="E1066" s="89"/>
    </row>
    <row r="1067" spans="1:5">
      <c r="A1067" s="89" t="s">
        <v>860</v>
      </c>
      <c r="B1067" s="290">
        <v>0</v>
      </c>
      <c r="C1067" s="291">
        <v>0</v>
      </c>
      <c r="D1067" s="105" t="str">
        <f t="shared" si="16"/>
        <v/>
      </c>
      <c r="E1067" s="89"/>
    </row>
    <row r="1068" spans="1:5">
      <c r="A1068" s="89" t="s">
        <v>861</v>
      </c>
      <c r="B1068" s="290">
        <v>53</v>
      </c>
      <c r="C1068" s="289">
        <v>88</v>
      </c>
      <c r="D1068" s="105">
        <f t="shared" si="16"/>
        <v>1.66</v>
      </c>
      <c r="E1068" s="89"/>
    </row>
    <row r="1069" spans="1:5">
      <c r="A1069" s="89" t="s">
        <v>862</v>
      </c>
      <c r="B1069" s="290">
        <v>4351</v>
      </c>
      <c r="C1069" s="289">
        <v>3905</v>
      </c>
      <c r="D1069" s="105">
        <f t="shared" si="16"/>
        <v>0.89700000000000002</v>
      </c>
      <c r="E1069" s="89"/>
    </row>
    <row r="1070" spans="1:5">
      <c r="A1070" s="89" t="s">
        <v>863</v>
      </c>
      <c r="B1070" s="290">
        <v>0</v>
      </c>
      <c r="C1070" s="291">
        <v>0</v>
      </c>
      <c r="D1070" s="105" t="str">
        <f t="shared" si="16"/>
        <v/>
      </c>
      <c r="E1070" s="89"/>
    </row>
    <row r="1071" spans="1:5">
      <c r="A1071" s="89" t="s">
        <v>864</v>
      </c>
      <c r="B1071" s="290">
        <v>3916</v>
      </c>
      <c r="C1071" s="291">
        <v>585</v>
      </c>
      <c r="D1071" s="105">
        <f t="shared" si="16"/>
        <v>0.14899999999999999</v>
      </c>
      <c r="E1071" s="89"/>
    </row>
    <row r="1072" spans="1:5">
      <c r="A1072" s="89" t="s">
        <v>865</v>
      </c>
      <c r="B1072" s="290">
        <v>0</v>
      </c>
      <c r="C1072" s="291">
        <v>0</v>
      </c>
      <c r="D1072" s="105" t="str">
        <f t="shared" si="16"/>
        <v/>
      </c>
      <c r="E1072" s="89"/>
    </row>
    <row r="1073" spans="1:5">
      <c r="A1073" s="89" t="s">
        <v>866</v>
      </c>
      <c r="B1073" s="290">
        <v>0</v>
      </c>
      <c r="C1073" s="291">
        <v>0</v>
      </c>
      <c r="D1073" s="105" t="str">
        <f t="shared" si="16"/>
        <v/>
      </c>
      <c r="E1073" s="89"/>
    </row>
    <row r="1074" spans="1:5">
      <c r="A1074" s="89" t="s">
        <v>867</v>
      </c>
      <c r="B1074" s="290">
        <v>435</v>
      </c>
      <c r="C1074" s="289">
        <v>3320</v>
      </c>
      <c r="D1074" s="105">
        <f t="shared" si="16"/>
        <v>7.6319999999999997</v>
      </c>
      <c r="E1074" s="89"/>
    </row>
    <row r="1075" spans="1:5">
      <c r="A1075" s="89" t="s">
        <v>868</v>
      </c>
      <c r="B1075" s="292">
        <v>0</v>
      </c>
      <c r="C1075" s="291">
        <v>0</v>
      </c>
      <c r="D1075" s="105" t="str">
        <f t="shared" si="16"/>
        <v/>
      </c>
      <c r="E1075" s="89"/>
    </row>
    <row r="1076" spans="1:5">
      <c r="A1076" s="89" t="s">
        <v>869</v>
      </c>
      <c r="B1076" s="292">
        <v>0</v>
      </c>
      <c r="C1076" s="291">
        <v>0</v>
      </c>
      <c r="D1076" s="105" t="str">
        <f t="shared" si="16"/>
        <v/>
      </c>
      <c r="E1076" s="89"/>
    </row>
    <row r="1077" spans="1:5">
      <c r="A1077" s="89" t="s">
        <v>870</v>
      </c>
      <c r="B1077" s="292">
        <v>0</v>
      </c>
      <c r="C1077" s="291">
        <v>0</v>
      </c>
      <c r="D1077" s="105" t="str">
        <f t="shared" si="16"/>
        <v/>
      </c>
      <c r="E1077" s="89"/>
    </row>
    <row r="1078" spans="1:5">
      <c r="A1078" s="89" t="s">
        <v>871</v>
      </c>
      <c r="B1078" s="290">
        <v>15295</v>
      </c>
      <c r="C1078" s="291">
        <v>369</v>
      </c>
      <c r="D1078" s="105">
        <f t="shared" si="16"/>
        <v>2.4E-2</v>
      </c>
      <c r="E1078" s="89"/>
    </row>
    <row r="1079" spans="1:5">
      <c r="A1079" s="89" t="s">
        <v>872</v>
      </c>
      <c r="B1079" s="290">
        <v>12449</v>
      </c>
      <c r="C1079" s="291">
        <v>92</v>
      </c>
      <c r="D1079" s="105">
        <f t="shared" si="16"/>
        <v>7.0000000000000001E-3</v>
      </c>
      <c r="E1079" s="89"/>
    </row>
    <row r="1080" spans="1:5">
      <c r="A1080" s="89" t="s">
        <v>873</v>
      </c>
      <c r="B1080" s="290">
        <v>2846</v>
      </c>
      <c r="C1080" s="291">
        <v>277</v>
      </c>
      <c r="D1080" s="105">
        <f t="shared" si="16"/>
        <v>9.7000000000000003E-2</v>
      </c>
      <c r="E1080" s="89"/>
    </row>
    <row r="1081" spans="1:5">
      <c r="A1081" s="89" t="s">
        <v>874</v>
      </c>
      <c r="B1081" s="292">
        <v>0</v>
      </c>
      <c r="C1081" s="291">
        <v>0</v>
      </c>
      <c r="D1081" s="105" t="str">
        <f t="shared" si="16"/>
        <v/>
      </c>
      <c r="E1081" s="89"/>
    </row>
    <row r="1082" spans="1:5">
      <c r="A1082" s="89" t="s">
        <v>875</v>
      </c>
      <c r="B1082" s="292">
        <v>0</v>
      </c>
      <c r="C1082" s="291">
        <v>0</v>
      </c>
      <c r="D1082" s="105" t="str">
        <f t="shared" si="16"/>
        <v/>
      </c>
      <c r="E1082" s="89"/>
    </row>
    <row r="1083" spans="1:5">
      <c r="A1083" s="89" t="s">
        <v>876</v>
      </c>
      <c r="B1083" s="292">
        <v>0</v>
      </c>
      <c r="C1083" s="291">
        <v>0</v>
      </c>
      <c r="D1083" s="105" t="str">
        <f t="shared" si="16"/>
        <v/>
      </c>
      <c r="E1083" s="89"/>
    </row>
    <row r="1084" spans="1:5">
      <c r="A1084" s="89" t="s">
        <v>877</v>
      </c>
      <c r="B1084" s="292">
        <v>0</v>
      </c>
      <c r="C1084" s="291">
        <v>0</v>
      </c>
      <c r="D1084" s="105" t="str">
        <f t="shared" si="16"/>
        <v/>
      </c>
      <c r="E1084" s="89"/>
    </row>
    <row r="1085" spans="1:5">
      <c r="A1085" s="89" t="s">
        <v>878</v>
      </c>
      <c r="B1085" s="292">
        <v>0</v>
      </c>
      <c r="C1085" s="291">
        <v>0</v>
      </c>
      <c r="D1085" s="105" t="str">
        <f t="shared" si="16"/>
        <v/>
      </c>
      <c r="E1085" s="89"/>
    </row>
    <row r="1086" spans="1:5">
      <c r="A1086" s="89" t="s">
        <v>879</v>
      </c>
      <c r="B1086" s="292">
        <v>0</v>
      </c>
      <c r="C1086" s="291">
        <v>0</v>
      </c>
      <c r="D1086" s="105" t="str">
        <f t="shared" si="16"/>
        <v/>
      </c>
      <c r="E1086" s="89"/>
    </row>
    <row r="1087" spans="1:5">
      <c r="A1087" s="89" t="s">
        <v>880</v>
      </c>
      <c r="B1087" s="292">
        <v>0</v>
      </c>
      <c r="C1087" s="291">
        <v>0</v>
      </c>
      <c r="D1087" s="105" t="str">
        <f t="shared" si="16"/>
        <v/>
      </c>
      <c r="E1087" s="89"/>
    </row>
    <row r="1088" spans="1:5">
      <c r="A1088" s="89" t="s">
        <v>881</v>
      </c>
      <c r="B1088" s="292">
        <v>0</v>
      </c>
      <c r="C1088" s="291">
        <v>0</v>
      </c>
      <c r="D1088" s="105" t="str">
        <f t="shared" si="16"/>
        <v/>
      </c>
      <c r="E1088" s="89"/>
    </row>
    <row r="1089" spans="1:5">
      <c r="A1089" s="89" t="s">
        <v>882</v>
      </c>
      <c r="B1089" s="292">
        <v>0</v>
      </c>
      <c r="C1089" s="291">
        <v>0</v>
      </c>
      <c r="D1089" s="105" t="str">
        <f t="shared" si="16"/>
        <v/>
      </c>
      <c r="E1089" s="89"/>
    </row>
    <row r="1090" spans="1:5">
      <c r="A1090" s="89" t="s">
        <v>883</v>
      </c>
      <c r="B1090" s="292">
        <v>0</v>
      </c>
      <c r="C1090" s="291">
        <v>0</v>
      </c>
      <c r="D1090" s="105" t="str">
        <f t="shared" si="16"/>
        <v/>
      </c>
      <c r="E1090" s="89"/>
    </row>
    <row r="1091" spans="1:5">
      <c r="A1091" s="89" t="s">
        <v>884</v>
      </c>
      <c r="B1091" s="290">
        <v>355639</v>
      </c>
      <c r="C1091" s="289">
        <v>249453</v>
      </c>
      <c r="D1091" s="105">
        <f t="shared" si="16"/>
        <v>0.70099999999999996</v>
      </c>
      <c r="E1091" s="89"/>
    </row>
    <row r="1092" spans="1:5">
      <c r="A1092" s="89" t="s">
        <v>885</v>
      </c>
      <c r="B1092" s="290">
        <v>269686</v>
      </c>
      <c r="C1092" s="289">
        <v>212218</v>
      </c>
      <c r="D1092" s="105">
        <f t="shared" si="16"/>
        <v>0.78700000000000003</v>
      </c>
      <c r="E1092" s="89"/>
    </row>
    <row r="1093" spans="1:5">
      <c r="A1093" s="89" t="s">
        <v>59</v>
      </c>
      <c r="B1093" s="290">
        <v>82288</v>
      </c>
      <c r="C1093" s="289">
        <v>72028</v>
      </c>
      <c r="D1093" s="105">
        <f t="shared" ref="D1093:D1156" si="17">IF(B1093=0,"",ROUND(C1093/B1093,3))</f>
        <v>0.875</v>
      </c>
      <c r="E1093" s="89"/>
    </row>
    <row r="1094" spans="1:5">
      <c r="A1094" s="89" t="s">
        <v>60</v>
      </c>
      <c r="B1094" s="290">
        <v>10115</v>
      </c>
      <c r="C1094" s="289">
        <v>4083</v>
      </c>
      <c r="D1094" s="105">
        <f t="shared" si="17"/>
        <v>0.40400000000000003</v>
      </c>
      <c r="E1094" s="89"/>
    </row>
    <row r="1095" spans="1:5">
      <c r="A1095" s="89" t="s">
        <v>61</v>
      </c>
      <c r="B1095" s="290">
        <v>593</v>
      </c>
      <c r="C1095" s="289">
        <v>550</v>
      </c>
      <c r="D1095" s="105">
        <f t="shared" si="17"/>
        <v>0.92700000000000005</v>
      </c>
      <c r="E1095" s="89"/>
    </row>
    <row r="1096" spans="1:5">
      <c r="A1096" s="89" t="s">
        <v>886</v>
      </c>
      <c r="B1096" s="290">
        <v>7505</v>
      </c>
      <c r="C1096" s="289">
        <v>10533</v>
      </c>
      <c r="D1096" s="105">
        <f t="shared" si="17"/>
        <v>1.403</v>
      </c>
      <c r="E1096" s="89"/>
    </row>
    <row r="1097" spans="1:5">
      <c r="A1097" s="89" t="s">
        <v>887</v>
      </c>
      <c r="B1097" s="290">
        <v>8653</v>
      </c>
      <c r="C1097" s="289">
        <v>5967</v>
      </c>
      <c r="D1097" s="105">
        <f t="shared" si="17"/>
        <v>0.69</v>
      </c>
      <c r="E1097" s="89"/>
    </row>
    <row r="1098" spans="1:5">
      <c r="A1098" s="89" t="s">
        <v>888</v>
      </c>
      <c r="B1098" s="290">
        <v>653</v>
      </c>
      <c r="C1098" s="289">
        <v>2520</v>
      </c>
      <c r="D1098" s="105">
        <f t="shared" si="17"/>
        <v>3.859</v>
      </c>
      <c r="E1098" s="89"/>
    </row>
    <row r="1099" spans="1:5">
      <c r="A1099" s="89" t="s">
        <v>889</v>
      </c>
      <c r="B1099" s="290">
        <v>2591</v>
      </c>
      <c r="C1099" s="289">
        <v>1505</v>
      </c>
      <c r="D1099" s="105">
        <f t="shared" si="17"/>
        <v>0.58099999999999996</v>
      </c>
      <c r="E1099" s="89"/>
    </row>
    <row r="1100" spans="1:5">
      <c r="A1100" s="89" t="s">
        <v>890</v>
      </c>
      <c r="B1100" s="290">
        <v>7395</v>
      </c>
      <c r="C1100" s="289">
        <v>3748</v>
      </c>
      <c r="D1100" s="105">
        <f t="shared" si="17"/>
        <v>0.50700000000000001</v>
      </c>
      <c r="E1100" s="89"/>
    </row>
    <row r="1101" spans="1:5">
      <c r="A1101" s="89" t="s">
        <v>891</v>
      </c>
      <c r="B1101" s="290">
        <v>17318</v>
      </c>
      <c r="C1101" s="291">
        <v>11604</v>
      </c>
      <c r="D1101" s="105">
        <f t="shared" si="17"/>
        <v>0.67</v>
      </c>
      <c r="E1101" s="89"/>
    </row>
    <row r="1102" spans="1:5">
      <c r="A1102" s="89" t="s">
        <v>892</v>
      </c>
      <c r="B1102" s="290">
        <v>1689</v>
      </c>
      <c r="C1102" s="289">
        <v>6908</v>
      </c>
      <c r="D1102" s="105">
        <f t="shared" si="17"/>
        <v>4.09</v>
      </c>
      <c r="E1102" s="89"/>
    </row>
    <row r="1103" spans="1:5">
      <c r="A1103" s="89" t="s">
        <v>893</v>
      </c>
      <c r="B1103" s="290">
        <v>11936</v>
      </c>
      <c r="C1103" s="289">
        <v>15728</v>
      </c>
      <c r="D1103" s="105">
        <f t="shared" si="17"/>
        <v>1.3180000000000001</v>
      </c>
      <c r="E1103" s="89"/>
    </row>
    <row r="1104" spans="1:5">
      <c r="A1104" s="89" t="s">
        <v>894</v>
      </c>
      <c r="B1104" s="290">
        <v>0</v>
      </c>
      <c r="C1104" s="291">
        <v>0</v>
      </c>
      <c r="D1104" s="105" t="str">
        <f t="shared" si="17"/>
        <v/>
      </c>
      <c r="E1104" s="89"/>
    </row>
    <row r="1105" spans="1:5">
      <c r="A1105" s="89" t="s">
        <v>895</v>
      </c>
      <c r="B1105" s="290">
        <v>0</v>
      </c>
      <c r="C1105" s="291">
        <v>0</v>
      </c>
      <c r="D1105" s="105" t="str">
        <f t="shared" si="17"/>
        <v/>
      </c>
      <c r="E1105" s="89"/>
    </row>
    <row r="1106" spans="1:5">
      <c r="A1106" s="89" t="s">
        <v>896</v>
      </c>
      <c r="B1106" s="290">
        <v>0</v>
      </c>
      <c r="C1106" s="291">
        <v>0</v>
      </c>
      <c r="D1106" s="105" t="str">
        <f t="shared" si="17"/>
        <v/>
      </c>
      <c r="E1106" s="89"/>
    </row>
    <row r="1107" spans="1:5">
      <c r="A1107" s="89" t="s">
        <v>897</v>
      </c>
      <c r="B1107" s="290">
        <v>0</v>
      </c>
      <c r="C1107" s="291">
        <v>0</v>
      </c>
      <c r="D1107" s="105" t="str">
        <f t="shared" si="17"/>
        <v/>
      </c>
      <c r="E1107" s="89"/>
    </row>
    <row r="1108" spans="1:5">
      <c r="A1108" s="89" t="s">
        <v>898</v>
      </c>
      <c r="B1108" s="290">
        <v>0</v>
      </c>
      <c r="C1108" s="291">
        <v>0</v>
      </c>
      <c r="D1108" s="105" t="str">
        <f t="shared" si="17"/>
        <v/>
      </c>
      <c r="E1108" s="89"/>
    </row>
    <row r="1109" spans="1:5">
      <c r="A1109" s="89" t="s">
        <v>899</v>
      </c>
      <c r="B1109" s="290">
        <v>0</v>
      </c>
      <c r="C1109" s="291">
        <v>0</v>
      </c>
      <c r="D1109" s="105" t="str">
        <f t="shared" si="17"/>
        <v/>
      </c>
      <c r="E1109" s="89"/>
    </row>
    <row r="1110" spans="1:5">
      <c r="A1110" s="89" t="s">
        <v>900</v>
      </c>
      <c r="B1110" s="290">
        <v>0</v>
      </c>
      <c r="C1110" s="291">
        <v>0</v>
      </c>
      <c r="D1110" s="105" t="str">
        <f t="shared" si="17"/>
        <v/>
      </c>
      <c r="E1110" s="89"/>
    </row>
    <row r="1111" spans="1:5">
      <c r="A1111" s="89" t="s">
        <v>901</v>
      </c>
      <c r="B1111" s="290">
        <v>0</v>
      </c>
      <c r="C1111" s="291">
        <v>0</v>
      </c>
      <c r="D1111" s="105" t="str">
        <f t="shared" si="17"/>
        <v/>
      </c>
      <c r="E1111" s="89"/>
    </row>
    <row r="1112" spans="1:5">
      <c r="A1112" s="89" t="s">
        <v>902</v>
      </c>
      <c r="B1112" s="290">
        <v>0</v>
      </c>
      <c r="C1112" s="291">
        <v>0</v>
      </c>
      <c r="D1112" s="105" t="str">
        <f t="shared" si="17"/>
        <v/>
      </c>
      <c r="E1112" s="89"/>
    </row>
    <row r="1113" spans="1:5">
      <c r="A1113" s="89" t="s">
        <v>903</v>
      </c>
      <c r="B1113" s="290">
        <v>0</v>
      </c>
      <c r="C1113" s="291">
        <v>0</v>
      </c>
      <c r="D1113" s="105" t="str">
        <f t="shared" si="17"/>
        <v/>
      </c>
      <c r="E1113" s="89"/>
    </row>
    <row r="1114" spans="1:5">
      <c r="A1114" s="89" t="s">
        <v>904</v>
      </c>
      <c r="B1114" s="290">
        <v>0</v>
      </c>
      <c r="C1114" s="291">
        <v>0</v>
      </c>
      <c r="D1114" s="105" t="str">
        <f t="shared" si="17"/>
        <v/>
      </c>
      <c r="E1114" s="89"/>
    </row>
    <row r="1115" spans="1:5">
      <c r="A1115" s="89" t="s">
        <v>905</v>
      </c>
      <c r="B1115" s="290">
        <v>0</v>
      </c>
      <c r="C1115" s="291">
        <v>0</v>
      </c>
      <c r="D1115" s="105" t="str">
        <f t="shared" si="17"/>
        <v/>
      </c>
      <c r="E1115" s="89"/>
    </row>
    <row r="1116" spans="1:5">
      <c r="A1116" s="89" t="s">
        <v>906</v>
      </c>
      <c r="B1116" s="290">
        <v>589</v>
      </c>
      <c r="C1116" s="291">
        <v>315</v>
      </c>
      <c r="D1116" s="105">
        <f t="shared" si="17"/>
        <v>0.53500000000000003</v>
      </c>
      <c r="E1116" s="89"/>
    </row>
    <row r="1117" spans="1:5">
      <c r="A1117" s="89" t="s">
        <v>68</v>
      </c>
      <c r="B1117" s="290">
        <v>38634</v>
      </c>
      <c r="C1117" s="289">
        <v>35699</v>
      </c>
      <c r="D1117" s="105">
        <f t="shared" si="17"/>
        <v>0.92400000000000004</v>
      </c>
      <c r="E1117" s="89"/>
    </row>
    <row r="1118" spans="1:5">
      <c r="A1118" s="89" t="s">
        <v>907</v>
      </c>
      <c r="B1118" s="290">
        <v>79727</v>
      </c>
      <c r="C1118" s="289">
        <v>41030</v>
      </c>
      <c r="D1118" s="105">
        <f t="shared" si="17"/>
        <v>0.51500000000000001</v>
      </c>
      <c r="E1118" s="89"/>
    </row>
    <row r="1119" spans="1:5">
      <c r="A1119" s="89" t="s">
        <v>908</v>
      </c>
      <c r="B1119" s="290">
        <v>14029</v>
      </c>
      <c r="C1119" s="289">
        <v>11992</v>
      </c>
      <c r="D1119" s="105">
        <f t="shared" si="17"/>
        <v>0.85499999999999998</v>
      </c>
      <c r="E1119" s="89"/>
    </row>
    <row r="1120" spans="1:5">
      <c r="A1120" s="89" t="s">
        <v>59</v>
      </c>
      <c r="B1120" s="290">
        <v>948</v>
      </c>
      <c r="C1120" s="289">
        <v>559</v>
      </c>
      <c r="D1120" s="105">
        <f t="shared" si="17"/>
        <v>0.59</v>
      </c>
      <c r="E1120" s="89"/>
    </row>
    <row r="1121" spans="1:5">
      <c r="A1121" s="89" t="s">
        <v>60</v>
      </c>
      <c r="B1121" s="290">
        <v>114</v>
      </c>
      <c r="C1121" s="291">
        <v>94</v>
      </c>
      <c r="D1121" s="105">
        <f t="shared" si="17"/>
        <v>0.82499999999999996</v>
      </c>
      <c r="E1121" s="89"/>
    </row>
    <row r="1122" spans="1:5">
      <c r="A1122" s="89" t="s">
        <v>61</v>
      </c>
      <c r="B1122" s="290">
        <v>0</v>
      </c>
      <c r="C1122" s="291">
        <v>0</v>
      </c>
      <c r="D1122" s="105" t="str">
        <f t="shared" si="17"/>
        <v/>
      </c>
      <c r="E1122" s="89"/>
    </row>
    <row r="1123" spans="1:5">
      <c r="A1123" s="89" t="s">
        <v>909</v>
      </c>
      <c r="B1123" s="290">
        <v>3693</v>
      </c>
      <c r="C1123" s="289">
        <v>2713</v>
      </c>
      <c r="D1123" s="105">
        <f t="shared" si="17"/>
        <v>0.73499999999999999</v>
      </c>
      <c r="E1123" s="89"/>
    </row>
    <row r="1124" spans="1:5">
      <c r="A1124" s="89" t="s">
        <v>910</v>
      </c>
      <c r="B1124" s="290">
        <v>47</v>
      </c>
      <c r="C1124" s="291">
        <v>0</v>
      </c>
      <c r="D1124" s="105">
        <f t="shared" si="17"/>
        <v>0</v>
      </c>
      <c r="E1124" s="89"/>
    </row>
    <row r="1125" spans="1:5">
      <c r="A1125" s="89" t="s">
        <v>911</v>
      </c>
      <c r="B1125" s="290">
        <v>0</v>
      </c>
      <c r="C1125" s="291">
        <v>0</v>
      </c>
      <c r="D1125" s="105" t="str">
        <f t="shared" si="17"/>
        <v/>
      </c>
      <c r="E1125" s="89"/>
    </row>
    <row r="1126" spans="1:5">
      <c r="A1126" s="89" t="s">
        <v>912</v>
      </c>
      <c r="B1126" s="290">
        <v>70</v>
      </c>
      <c r="C1126" s="291">
        <v>70</v>
      </c>
      <c r="D1126" s="105">
        <f t="shared" si="17"/>
        <v>1</v>
      </c>
      <c r="E1126" s="89"/>
    </row>
    <row r="1127" spans="1:5">
      <c r="A1127" s="89" t="s">
        <v>913</v>
      </c>
      <c r="B1127" s="290">
        <v>7806</v>
      </c>
      <c r="C1127" s="289">
        <v>6318</v>
      </c>
      <c r="D1127" s="105">
        <f t="shared" si="17"/>
        <v>0.80900000000000005</v>
      </c>
      <c r="E1127" s="89"/>
    </row>
    <row r="1128" spans="1:5">
      <c r="A1128" s="89" t="s">
        <v>914</v>
      </c>
      <c r="B1128" s="290">
        <v>348</v>
      </c>
      <c r="C1128" s="291">
        <v>0</v>
      </c>
      <c r="D1128" s="105">
        <f t="shared" si="17"/>
        <v>0</v>
      </c>
      <c r="E1128" s="89"/>
    </row>
    <row r="1129" spans="1:5">
      <c r="A1129" s="89" t="s">
        <v>915</v>
      </c>
      <c r="B1129" s="290">
        <v>39</v>
      </c>
      <c r="C1129" s="291">
        <v>200</v>
      </c>
      <c r="D1129" s="105">
        <f t="shared" si="17"/>
        <v>5.1280000000000001</v>
      </c>
      <c r="E1129" s="89"/>
    </row>
    <row r="1130" spans="1:5">
      <c r="A1130" s="89" t="s">
        <v>916</v>
      </c>
      <c r="B1130" s="290">
        <v>0</v>
      </c>
      <c r="C1130" s="291">
        <v>0</v>
      </c>
      <c r="D1130" s="105" t="str">
        <f t="shared" si="17"/>
        <v/>
      </c>
      <c r="E1130" s="89"/>
    </row>
    <row r="1131" spans="1:5">
      <c r="A1131" s="89" t="s">
        <v>917</v>
      </c>
      <c r="B1131" s="290">
        <v>0</v>
      </c>
      <c r="C1131" s="291">
        <v>0</v>
      </c>
      <c r="D1131" s="105" t="str">
        <f t="shared" si="17"/>
        <v/>
      </c>
      <c r="E1131" s="89"/>
    </row>
    <row r="1132" spans="1:5">
      <c r="A1132" s="89" t="s">
        <v>918</v>
      </c>
      <c r="B1132" s="290">
        <v>0</v>
      </c>
      <c r="C1132" s="291">
        <v>0</v>
      </c>
      <c r="D1132" s="105" t="str">
        <f t="shared" si="17"/>
        <v/>
      </c>
      <c r="E1132" s="89"/>
    </row>
    <row r="1133" spans="1:5">
      <c r="A1133" s="89" t="s">
        <v>919</v>
      </c>
      <c r="B1133" s="290">
        <v>964</v>
      </c>
      <c r="C1133" s="289">
        <v>2038</v>
      </c>
      <c r="D1133" s="105">
        <f t="shared" si="17"/>
        <v>2.1139999999999999</v>
      </c>
      <c r="E1133" s="89"/>
    </row>
    <row r="1134" spans="1:5">
      <c r="A1134" s="89" t="s">
        <v>920</v>
      </c>
      <c r="B1134" s="290">
        <v>71924</v>
      </c>
      <c r="C1134" s="291">
        <v>25243</v>
      </c>
      <c r="D1134" s="105">
        <f t="shared" si="17"/>
        <v>0.35099999999999998</v>
      </c>
      <c r="E1134" s="89"/>
    </row>
    <row r="1135" spans="1:5">
      <c r="A1135" s="89" t="s">
        <v>921</v>
      </c>
      <c r="B1135" s="290">
        <v>1762847</v>
      </c>
      <c r="C1135" s="289">
        <v>905761</v>
      </c>
      <c r="D1135" s="105">
        <f t="shared" si="17"/>
        <v>0.51400000000000001</v>
      </c>
      <c r="E1135" s="89"/>
    </row>
    <row r="1136" spans="1:5">
      <c r="A1136" s="89" t="s">
        <v>922</v>
      </c>
      <c r="B1136" s="290">
        <v>1366434</v>
      </c>
      <c r="C1136" s="291">
        <v>484100</v>
      </c>
      <c r="D1136" s="105">
        <f t="shared" si="17"/>
        <v>0.35399999999999998</v>
      </c>
      <c r="E1136" s="89"/>
    </row>
    <row r="1137" spans="1:5">
      <c r="A1137" s="89" t="s">
        <v>923</v>
      </c>
      <c r="B1137" s="290">
        <v>500</v>
      </c>
      <c r="C1137" s="291">
        <v>1310</v>
      </c>
      <c r="D1137" s="105">
        <f t="shared" si="17"/>
        <v>2.62</v>
      </c>
      <c r="E1137" s="89"/>
    </row>
    <row r="1138" spans="1:5">
      <c r="A1138" s="89" t="s">
        <v>924</v>
      </c>
      <c r="B1138" s="290">
        <v>0</v>
      </c>
      <c r="C1138" s="291">
        <v>0</v>
      </c>
      <c r="D1138" s="105" t="str">
        <f t="shared" si="17"/>
        <v/>
      </c>
      <c r="E1138" s="89"/>
    </row>
    <row r="1139" spans="1:5">
      <c r="A1139" s="89" t="s">
        <v>925</v>
      </c>
      <c r="B1139" s="290">
        <v>250589</v>
      </c>
      <c r="C1139" s="291">
        <v>105943</v>
      </c>
      <c r="D1139" s="105">
        <f t="shared" si="17"/>
        <v>0.42299999999999999</v>
      </c>
      <c r="E1139" s="89"/>
    </row>
    <row r="1140" spans="1:5">
      <c r="A1140" s="89" t="s">
        <v>926</v>
      </c>
      <c r="B1140" s="290">
        <v>6172</v>
      </c>
      <c r="C1140" s="291">
        <v>1183</v>
      </c>
      <c r="D1140" s="105">
        <f t="shared" si="17"/>
        <v>0.192</v>
      </c>
      <c r="E1140" s="89"/>
    </row>
    <row r="1141" spans="1:5">
      <c r="A1141" s="89" t="s">
        <v>927</v>
      </c>
      <c r="B1141" s="290">
        <v>223853</v>
      </c>
      <c r="C1141" s="291">
        <v>67919</v>
      </c>
      <c r="D1141" s="105">
        <f t="shared" si="17"/>
        <v>0.30299999999999999</v>
      </c>
      <c r="E1141" s="89"/>
    </row>
    <row r="1142" spans="1:5">
      <c r="A1142" s="89" t="s">
        <v>928</v>
      </c>
      <c r="B1142" s="290">
        <v>242162</v>
      </c>
      <c r="C1142" s="291">
        <v>15401</v>
      </c>
      <c r="D1142" s="105">
        <f t="shared" si="17"/>
        <v>6.4000000000000001E-2</v>
      </c>
      <c r="E1142" s="89"/>
    </row>
    <row r="1143" spans="1:5">
      <c r="A1143" s="89" t="s">
        <v>929</v>
      </c>
      <c r="B1143" s="290">
        <v>1288</v>
      </c>
      <c r="C1143" s="291">
        <v>21346</v>
      </c>
      <c r="D1143" s="105">
        <f t="shared" si="17"/>
        <v>16.573</v>
      </c>
      <c r="E1143" s="89"/>
    </row>
    <row r="1144" spans="1:5">
      <c r="A1144" s="89" t="s">
        <v>930</v>
      </c>
      <c r="B1144" s="290">
        <v>51032</v>
      </c>
      <c r="C1144" s="291">
        <v>66368</v>
      </c>
      <c r="D1144" s="105">
        <f t="shared" si="17"/>
        <v>1.3009999999999999</v>
      </c>
      <c r="E1144" s="89"/>
    </row>
    <row r="1145" spans="1:5">
      <c r="A1145" s="89" t="s">
        <v>931</v>
      </c>
      <c r="B1145" s="290">
        <v>0</v>
      </c>
      <c r="C1145" s="291">
        <v>0</v>
      </c>
      <c r="D1145" s="105" t="str">
        <f t="shared" si="17"/>
        <v/>
      </c>
      <c r="E1145" s="89"/>
    </row>
    <row r="1146" spans="1:5">
      <c r="A1146" s="89" t="s">
        <v>932</v>
      </c>
      <c r="B1146" s="290">
        <v>590838</v>
      </c>
      <c r="C1146" s="291">
        <v>204630</v>
      </c>
      <c r="D1146" s="105">
        <f t="shared" si="17"/>
        <v>0.34599999999999997</v>
      </c>
      <c r="E1146" s="89"/>
    </row>
    <row r="1147" spans="1:5">
      <c r="A1147" s="89" t="s">
        <v>933</v>
      </c>
      <c r="B1147" s="290">
        <v>368356</v>
      </c>
      <c r="C1147" s="289">
        <v>402095</v>
      </c>
      <c r="D1147" s="105">
        <f t="shared" si="17"/>
        <v>1.0920000000000001</v>
      </c>
      <c r="E1147" s="89"/>
    </row>
    <row r="1148" spans="1:5">
      <c r="A1148" s="89" t="s">
        <v>934</v>
      </c>
      <c r="B1148" s="290">
        <v>368356</v>
      </c>
      <c r="C1148" s="289">
        <v>402095</v>
      </c>
      <c r="D1148" s="105">
        <f t="shared" si="17"/>
        <v>1.0920000000000001</v>
      </c>
      <c r="E1148" s="89"/>
    </row>
    <row r="1149" spans="1:5">
      <c r="A1149" s="89" t="s">
        <v>935</v>
      </c>
      <c r="B1149" s="290">
        <v>0</v>
      </c>
      <c r="C1149" s="291">
        <v>0</v>
      </c>
      <c r="D1149" s="105" t="str">
        <f t="shared" si="17"/>
        <v/>
      </c>
      <c r="E1149" s="89"/>
    </row>
    <row r="1150" spans="1:5">
      <c r="A1150" s="89" t="s">
        <v>936</v>
      </c>
      <c r="B1150" s="290">
        <v>0</v>
      </c>
      <c r="C1150" s="291">
        <v>0</v>
      </c>
      <c r="D1150" s="105" t="str">
        <f t="shared" si="17"/>
        <v/>
      </c>
      <c r="E1150" s="89"/>
    </row>
    <row r="1151" spans="1:5">
      <c r="A1151" s="89" t="s">
        <v>937</v>
      </c>
      <c r="B1151" s="290">
        <v>28057</v>
      </c>
      <c r="C1151" s="291">
        <v>19566</v>
      </c>
      <c r="D1151" s="105">
        <f t="shared" si="17"/>
        <v>0.69699999999999995</v>
      </c>
      <c r="E1151" s="89"/>
    </row>
    <row r="1152" spans="1:5">
      <c r="A1152" s="89" t="s">
        <v>938</v>
      </c>
      <c r="B1152" s="290">
        <v>212</v>
      </c>
      <c r="C1152" s="291">
        <v>63</v>
      </c>
      <c r="D1152" s="105">
        <f t="shared" si="17"/>
        <v>0.29699999999999999</v>
      </c>
      <c r="E1152" s="89"/>
    </row>
    <row r="1153" spans="1:5">
      <c r="A1153" s="89" t="s">
        <v>939</v>
      </c>
      <c r="B1153" s="290">
        <v>24357</v>
      </c>
      <c r="C1153" s="291">
        <v>11799</v>
      </c>
      <c r="D1153" s="105">
        <f t="shared" si="17"/>
        <v>0.48399999999999999</v>
      </c>
      <c r="E1153" s="89"/>
    </row>
    <row r="1154" spans="1:5">
      <c r="A1154" s="89" t="s">
        <v>940</v>
      </c>
      <c r="B1154" s="290">
        <v>3488</v>
      </c>
      <c r="C1154" s="291">
        <v>7704</v>
      </c>
      <c r="D1154" s="105">
        <f t="shared" si="17"/>
        <v>2.2090000000000001</v>
      </c>
      <c r="E1154" s="89"/>
    </row>
    <row r="1155" spans="1:5">
      <c r="A1155" s="89" t="s">
        <v>941</v>
      </c>
      <c r="B1155" s="290">
        <v>202515</v>
      </c>
      <c r="C1155" s="289">
        <v>119557</v>
      </c>
      <c r="D1155" s="105">
        <f t="shared" si="17"/>
        <v>0.59</v>
      </c>
      <c r="E1155" s="89"/>
    </row>
    <row r="1156" spans="1:5">
      <c r="A1156" s="89" t="s">
        <v>942</v>
      </c>
      <c r="B1156" s="290">
        <v>101012</v>
      </c>
      <c r="C1156" s="289">
        <v>105098</v>
      </c>
      <c r="D1156" s="105">
        <f t="shared" si="17"/>
        <v>1.04</v>
      </c>
      <c r="E1156" s="89"/>
    </row>
    <row r="1157" spans="1:5">
      <c r="A1157" s="89" t="s">
        <v>59</v>
      </c>
      <c r="B1157" s="290">
        <v>3515</v>
      </c>
      <c r="C1157" s="289">
        <v>2821</v>
      </c>
      <c r="D1157" s="105">
        <f t="shared" ref="D1157:D1220" si="18">IF(B1157=0,"",ROUND(C1157/B1157,3))</f>
        <v>0.80300000000000005</v>
      </c>
      <c r="E1157" s="89"/>
    </row>
    <row r="1158" spans="1:5">
      <c r="A1158" s="89" t="s">
        <v>60</v>
      </c>
      <c r="B1158" s="290">
        <v>3626</v>
      </c>
      <c r="C1158" s="291">
        <v>131</v>
      </c>
      <c r="D1158" s="105">
        <f t="shared" si="18"/>
        <v>3.5999999999999997E-2</v>
      </c>
      <c r="E1158" s="89"/>
    </row>
    <row r="1159" spans="1:5">
      <c r="A1159" s="89" t="s">
        <v>61</v>
      </c>
      <c r="B1159" s="290">
        <v>790</v>
      </c>
      <c r="C1159" s="289">
        <v>579</v>
      </c>
      <c r="D1159" s="105">
        <f t="shared" si="18"/>
        <v>0.73299999999999998</v>
      </c>
      <c r="E1159" s="89"/>
    </row>
    <row r="1160" spans="1:5">
      <c r="A1160" s="89" t="s">
        <v>943</v>
      </c>
      <c r="B1160" s="290">
        <v>0</v>
      </c>
      <c r="C1160" s="291">
        <v>0</v>
      </c>
      <c r="D1160" s="105" t="str">
        <f t="shared" si="18"/>
        <v/>
      </c>
      <c r="E1160" s="89"/>
    </row>
    <row r="1161" spans="1:5">
      <c r="A1161" s="89" t="s">
        <v>944</v>
      </c>
      <c r="B1161" s="290">
        <v>0</v>
      </c>
      <c r="C1161" s="291">
        <v>0</v>
      </c>
      <c r="D1161" s="105" t="str">
        <f t="shared" si="18"/>
        <v/>
      </c>
      <c r="E1161" s="89"/>
    </row>
    <row r="1162" spans="1:5">
      <c r="A1162" s="89" t="s">
        <v>945</v>
      </c>
      <c r="B1162" s="290">
        <v>2467</v>
      </c>
      <c r="C1162" s="291">
        <v>1295</v>
      </c>
      <c r="D1162" s="105">
        <f t="shared" si="18"/>
        <v>0.52500000000000002</v>
      </c>
      <c r="E1162" s="89"/>
    </row>
    <row r="1163" spans="1:5">
      <c r="A1163" s="89" t="s">
        <v>946</v>
      </c>
      <c r="B1163" s="290">
        <v>450</v>
      </c>
      <c r="C1163" s="291">
        <v>0</v>
      </c>
      <c r="D1163" s="105">
        <f t="shared" si="18"/>
        <v>0</v>
      </c>
      <c r="E1163" s="89"/>
    </row>
    <row r="1164" spans="1:5">
      <c r="A1164" s="89" t="s">
        <v>947</v>
      </c>
      <c r="B1164" s="290">
        <v>7500</v>
      </c>
      <c r="C1164" s="291">
        <v>0</v>
      </c>
      <c r="D1164" s="105">
        <f t="shared" si="18"/>
        <v>0</v>
      </c>
      <c r="E1164" s="89"/>
    </row>
    <row r="1165" spans="1:5">
      <c r="A1165" s="89" t="s">
        <v>948</v>
      </c>
      <c r="B1165" s="290">
        <v>0</v>
      </c>
      <c r="C1165" s="291">
        <v>0</v>
      </c>
      <c r="D1165" s="105" t="str">
        <f t="shared" si="18"/>
        <v/>
      </c>
      <c r="E1165" s="89"/>
    </row>
    <row r="1166" spans="1:5">
      <c r="A1166" s="89" t="s">
        <v>949</v>
      </c>
      <c r="B1166" s="290">
        <v>0</v>
      </c>
      <c r="C1166" s="291">
        <v>0</v>
      </c>
      <c r="D1166" s="105" t="str">
        <f t="shared" si="18"/>
        <v/>
      </c>
      <c r="E1166" s="89"/>
    </row>
    <row r="1167" spans="1:5">
      <c r="A1167" s="89" t="s">
        <v>950</v>
      </c>
      <c r="B1167" s="290">
        <v>54672</v>
      </c>
      <c r="C1167" s="289">
        <v>42112</v>
      </c>
      <c r="D1167" s="105">
        <f t="shared" si="18"/>
        <v>0.77</v>
      </c>
      <c r="E1167" s="89"/>
    </row>
    <row r="1168" spans="1:5">
      <c r="A1168" s="89" t="s">
        <v>951</v>
      </c>
      <c r="B1168" s="290"/>
      <c r="C1168" s="291">
        <v>0</v>
      </c>
      <c r="D1168" s="105" t="str">
        <f t="shared" si="18"/>
        <v/>
      </c>
      <c r="E1168" s="89"/>
    </row>
    <row r="1169" spans="1:5">
      <c r="A1169" s="89" t="s">
        <v>952</v>
      </c>
      <c r="B1169" s="290">
        <v>9642</v>
      </c>
      <c r="C1169" s="291">
        <v>88</v>
      </c>
      <c r="D1169" s="105">
        <f t="shared" si="18"/>
        <v>8.9999999999999993E-3</v>
      </c>
      <c r="E1169" s="89"/>
    </row>
    <row r="1170" spans="1:5">
      <c r="A1170" s="89" t="s">
        <v>953</v>
      </c>
      <c r="B1170" s="290"/>
      <c r="C1170" s="291">
        <v>0</v>
      </c>
      <c r="D1170" s="105" t="str">
        <f t="shared" si="18"/>
        <v/>
      </c>
      <c r="E1170" s="89"/>
    </row>
    <row r="1171" spans="1:5">
      <c r="A1171" s="89" t="s">
        <v>954</v>
      </c>
      <c r="B1171" s="292">
        <v>0</v>
      </c>
      <c r="C1171" s="291">
        <v>0</v>
      </c>
      <c r="D1171" s="105" t="str">
        <f t="shared" si="18"/>
        <v/>
      </c>
      <c r="E1171" s="89"/>
    </row>
    <row r="1172" spans="1:5">
      <c r="A1172" s="89" t="s">
        <v>68</v>
      </c>
      <c r="B1172" s="290">
        <v>861</v>
      </c>
      <c r="C1172" s="291">
        <v>849</v>
      </c>
      <c r="D1172" s="105">
        <f t="shared" si="18"/>
        <v>0.98599999999999999</v>
      </c>
      <c r="E1172" s="89"/>
    </row>
    <row r="1173" spans="1:5">
      <c r="A1173" s="89" t="s">
        <v>955</v>
      </c>
      <c r="B1173" s="290">
        <v>17489</v>
      </c>
      <c r="C1173" s="289">
        <v>57223</v>
      </c>
      <c r="D1173" s="105">
        <f t="shared" si="18"/>
        <v>3.2719999999999998</v>
      </c>
      <c r="E1173" s="89"/>
    </row>
    <row r="1174" spans="1:5">
      <c r="A1174" s="89" t="s">
        <v>956</v>
      </c>
      <c r="B1174" s="290">
        <v>3650</v>
      </c>
      <c r="C1174" s="291">
        <v>3579</v>
      </c>
      <c r="D1174" s="105">
        <f t="shared" si="18"/>
        <v>0.98099999999999998</v>
      </c>
      <c r="E1174" s="89"/>
    </row>
    <row r="1175" spans="1:5">
      <c r="A1175" s="89" t="s">
        <v>957</v>
      </c>
      <c r="B1175" s="290">
        <v>0</v>
      </c>
      <c r="C1175" s="291">
        <v>0</v>
      </c>
      <c r="D1175" s="105" t="str">
        <f t="shared" si="18"/>
        <v/>
      </c>
      <c r="E1175" s="89"/>
    </row>
    <row r="1176" spans="1:5">
      <c r="A1176" s="89" t="s">
        <v>958</v>
      </c>
      <c r="B1176" s="290">
        <v>0</v>
      </c>
      <c r="C1176" s="291">
        <v>0</v>
      </c>
      <c r="D1176" s="105" t="str">
        <f t="shared" si="18"/>
        <v/>
      </c>
      <c r="E1176" s="89"/>
    </row>
    <row r="1177" spans="1:5">
      <c r="A1177" s="89" t="s">
        <v>959</v>
      </c>
      <c r="B1177" s="290">
        <v>3150</v>
      </c>
      <c r="C1177" s="291">
        <v>1091</v>
      </c>
      <c r="D1177" s="105">
        <f t="shared" si="18"/>
        <v>0.34599999999999997</v>
      </c>
      <c r="E1177" s="89"/>
    </row>
    <row r="1178" spans="1:5">
      <c r="A1178" s="89" t="s">
        <v>960</v>
      </c>
      <c r="B1178" s="290"/>
      <c r="C1178" s="291">
        <v>0</v>
      </c>
      <c r="D1178" s="105" t="str">
        <f t="shared" si="18"/>
        <v/>
      </c>
      <c r="E1178" s="89"/>
    </row>
    <row r="1179" spans="1:5">
      <c r="A1179" s="89" t="s">
        <v>961</v>
      </c>
      <c r="B1179" s="290">
        <v>500</v>
      </c>
      <c r="C1179" s="291">
        <v>2488</v>
      </c>
      <c r="D1179" s="105">
        <f t="shared" si="18"/>
        <v>4.976</v>
      </c>
      <c r="E1179" s="89"/>
    </row>
    <row r="1180" spans="1:5">
      <c r="A1180" s="89" t="s">
        <v>962</v>
      </c>
      <c r="B1180" s="290">
        <v>10440</v>
      </c>
      <c r="C1180" s="289">
        <v>4642</v>
      </c>
      <c r="D1180" s="105">
        <f t="shared" si="18"/>
        <v>0.44500000000000001</v>
      </c>
      <c r="E1180" s="89"/>
    </row>
    <row r="1181" spans="1:5">
      <c r="A1181" s="89" t="s">
        <v>963</v>
      </c>
      <c r="B1181" s="290">
        <v>1129</v>
      </c>
      <c r="C1181" s="291">
        <v>1661</v>
      </c>
      <c r="D1181" s="105">
        <f t="shared" si="18"/>
        <v>1.4710000000000001</v>
      </c>
      <c r="E1181" s="89"/>
    </row>
    <row r="1182" spans="1:5">
      <c r="A1182" s="89" t="s">
        <v>964</v>
      </c>
      <c r="B1182" s="290">
        <v>0</v>
      </c>
      <c r="C1182" s="291">
        <v>0</v>
      </c>
      <c r="D1182" s="105" t="str">
        <f t="shared" si="18"/>
        <v/>
      </c>
      <c r="E1182" s="89"/>
    </row>
    <row r="1183" spans="1:5">
      <c r="A1183" s="89" t="s">
        <v>965</v>
      </c>
      <c r="B1183" s="290">
        <v>1410</v>
      </c>
      <c r="C1183" s="289">
        <v>1546</v>
      </c>
      <c r="D1183" s="105">
        <f t="shared" si="18"/>
        <v>1.0960000000000001</v>
      </c>
      <c r="E1183" s="89"/>
    </row>
    <row r="1184" spans="1:5">
      <c r="A1184" s="89" t="s">
        <v>966</v>
      </c>
      <c r="B1184" s="290">
        <v>0</v>
      </c>
      <c r="C1184" s="291">
        <v>0</v>
      </c>
      <c r="D1184" s="105" t="str">
        <f t="shared" si="18"/>
        <v/>
      </c>
      <c r="E1184" s="89"/>
    </row>
    <row r="1185" spans="1:5">
      <c r="A1185" s="89" t="s">
        <v>967</v>
      </c>
      <c r="B1185" s="290">
        <v>7901</v>
      </c>
      <c r="C1185" s="291">
        <v>1435</v>
      </c>
      <c r="D1185" s="105">
        <f t="shared" si="18"/>
        <v>0.182</v>
      </c>
      <c r="E1185" s="89"/>
    </row>
    <row r="1186" spans="1:5">
      <c r="A1186" s="89" t="s">
        <v>968</v>
      </c>
      <c r="B1186" s="290">
        <v>87413</v>
      </c>
      <c r="C1186" s="289">
        <v>6238</v>
      </c>
      <c r="D1186" s="105">
        <f t="shared" si="18"/>
        <v>7.0999999999999994E-2</v>
      </c>
      <c r="E1186" s="89"/>
    </row>
    <row r="1187" spans="1:5">
      <c r="A1187" s="89" t="s">
        <v>969</v>
      </c>
      <c r="B1187" s="290">
        <v>0</v>
      </c>
      <c r="C1187" s="291">
        <v>0</v>
      </c>
      <c r="D1187" s="105" t="str">
        <f t="shared" si="18"/>
        <v/>
      </c>
      <c r="E1187" s="89"/>
    </row>
    <row r="1188" spans="1:5">
      <c r="A1188" s="89" t="s">
        <v>970</v>
      </c>
      <c r="B1188" s="290">
        <v>0</v>
      </c>
      <c r="C1188" s="291">
        <v>0</v>
      </c>
      <c r="D1188" s="105" t="str">
        <f t="shared" si="18"/>
        <v/>
      </c>
      <c r="E1188" s="89"/>
    </row>
    <row r="1189" spans="1:5">
      <c r="A1189" s="89" t="s">
        <v>971</v>
      </c>
      <c r="B1189" s="290">
        <v>4823</v>
      </c>
      <c r="C1189" s="291">
        <v>799</v>
      </c>
      <c r="D1189" s="105">
        <f t="shared" si="18"/>
        <v>0.16600000000000001</v>
      </c>
      <c r="E1189" s="89"/>
    </row>
    <row r="1190" spans="1:5">
      <c r="A1190" s="89" t="s">
        <v>972</v>
      </c>
      <c r="B1190" s="290">
        <v>1640</v>
      </c>
      <c r="C1190" s="289">
        <v>860</v>
      </c>
      <c r="D1190" s="105">
        <f t="shared" si="18"/>
        <v>0.52400000000000002</v>
      </c>
      <c r="E1190" s="89"/>
    </row>
    <row r="1191" spans="1:5">
      <c r="A1191" s="89" t="s">
        <v>973</v>
      </c>
      <c r="B1191" s="290">
        <v>446</v>
      </c>
      <c r="C1191" s="291">
        <v>0</v>
      </c>
      <c r="D1191" s="105">
        <f t="shared" si="18"/>
        <v>0</v>
      </c>
      <c r="E1191" s="89"/>
    </row>
    <row r="1192" spans="1:5">
      <c r="A1192" s="89" t="s">
        <v>974</v>
      </c>
      <c r="B1192" s="290">
        <v>0</v>
      </c>
      <c r="C1192" s="291">
        <v>0</v>
      </c>
      <c r="D1192" s="105" t="str">
        <f t="shared" si="18"/>
        <v/>
      </c>
      <c r="E1192" s="89"/>
    </row>
    <row r="1193" spans="1:5">
      <c r="A1193" s="89" t="s">
        <v>975</v>
      </c>
      <c r="B1193" s="290">
        <v>0</v>
      </c>
      <c r="C1193" s="291">
        <v>0</v>
      </c>
      <c r="D1193" s="105" t="str">
        <f t="shared" si="18"/>
        <v/>
      </c>
      <c r="E1193" s="89"/>
    </row>
    <row r="1194" spans="1:5">
      <c r="A1194" s="89" t="s">
        <v>976</v>
      </c>
      <c r="B1194" s="290">
        <v>0</v>
      </c>
      <c r="C1194" s="291">
        <v>0</v>
      </c>
      <c r="D1194" s="105" t="str">
        <f t="shared" si="18"/>
        <v/>
      </c>
      <c r="E1194" s="89"/>
    </row>
    <row r="1195" spans="1:5">
      <c r="A1195" s="89" t="s">
        <v>977</v>
      </c>
      <c r="B1195" s="290">
        <v>0</v>
      </c>
      <c r="C1195" s="291">
        <v>0</v>
      </c>
      <c r="D1195" s="105" t="str">
        <f t="shared" si="18"/>
        <v/>
      </c>
      <c r="E1195" s="89"/>
    </row>
    <row r="1196" spans="1:5">
      <c r="A1196" s="89" t="s">
        <v>978</v>
      </c>
      <c r="B1196" s="290">
        <v>0</v>
      </c>
      <c r="C1196" s="291">
        <v>0</v>
      </c>
      <c r="D1196" s="105" t="str">
        <f t="shared" si="18"/>
        <v/>
      </c>
      <c r="E1196" s="89"/>
    </row>
    <row r="1197" spans="1:5">
      <c r="A1197" s="89" t="s">
        <v>979</v>
      </c>
      <c r="B1197" s="290">
        <v>43679</v>
      </c>
      <c r="C1197" s="289">
        <v>3917</v>
      </c>
      <c r="D1197" s="105">
        <f t="shared" si="18"/>
        <v>0.09</v>
      </c>
      <c r="E1197" s="89"/>
    </row>
    <row r="1198" spans="1:5">
      <c r="A1198" s="89" t="s">
        <v>980</v>
      </c>
      <c r="B1198" s="290">
        <v>36825</v>
      </c>
      <c r="C1198" s="291">
        <v>662</v>
      </c>
      <c r="D1198" s="105">
        <f t="shared" si="18"/>
        <v>1.7999999999999999E-2</v>
      </c>
      <c r="E1198" s="89"/>
    </row>
    <row r="1199" spans="1:5">
      <c r="A1199" s="89" t="s">
        <v>981</v>
      </c>
      <c r="B1199" s="290">
        <v>214743</v>
      </c>
      <c r="C1199" s="289">
        <v>166239</v>
      </c>
      <c r="D1199" s="105">
        <f t="shared" si="18"/>
        <v>0.77400000000000002</v>
      </c>
      <c r="E1199" s="89"/>
    </row>
    <row r="1200" spans="1:5">
      <c r="A1200" s="89" t="s">
        <v>982</v>
      </c>
      <c r="B1200" s="290">
        <v>63614</v>
      </c>
      <c r="C1200" s="289">
        <v>82030</v>
      </c>
      <c r="D1200" s="105">
        <f t="shared" si="18"/>
        <v>1.2889999999999999</v>
      </c>
      <c r="E1200" s="89"/>
    </row>
    <row r="1201" spans="1:5">
      <c r="A1201" s="89" t="s">
        <v>59</v>
      </c>
      <c r="B1201" s="290">
        <v>29654</v>
      </c>
      <c r="C1201" s="289">
        <v>31888</v>
      </c>
      <c r="D1201" s="105">
        <f t="shared" si="18"/>
        <v>1.075</v>
      </c>
      <c r="E1201" s="89"/>
    </row>
    <row r="1202" spans="1:5">
      <c r="A1202" s="89" t="s">
        <v>60</v>
      </c>
      <c r="B1202" s="290">
        <v>1555</v>
      </c>
      <c r="C1202" s="291">
        <v>1221</v>
      </c>
      <c r="D1202" s="105">
        <f t="shared" si="18"/>
        <v>0.78500000000000003</v>
      </c>
      <c r="E1202" s="89"/>
    </row>
    <row r="1203" spans="1:5">
      <c r="A1203" s="89" t="s">
        <v>61</v>
      </c>
      <c r="B1203" s="290">
        <v>321</v>
      </c>
      <c r="C1203" s="289">
        <v>163</v>
      </c>
      <c r="D1203" s="105">
        <f t="shared" si="18"/>
        <v>0.50800000000000001</v>
      </c>
      <c r="E1203" s="89"/>
    </row>
    <row r="1204" spans="1:5">
      <c r="A1204" s="89" t="s">
        <v>983</v>
      </c>
      <c r="B1204" s="290">
        <v>552</v>
      </c>
      <c r="C1204" s="289">
        <v>12147</v>
      </c>
      <c r="D1204" s="105">
        <f t="shared" si="18"/>
        <v>22.004999999999999</v>
      </c>
      <c r="E1204" s="89"/>
    </row>
    <row r="1205" spans="1:5">
      <c r="A1205" s="89" t="s">
        <v>984</v>
      </c>
      <c r="B1205" s="290">
        <v>0</v>
      </c>
      <c r="C1205" s="291">
        <v>0</v>
      </c>
      <c r="D1205" s="105" t="str">
        <f t="shared" si="18"/>
        <v/>
      </c>
      <c r="E1205" s="89"/>
    </row>
    <row r="1206" spans="1:5">
      <c r="A1206" s="89" t="s">
        <v>985</v>
      </c>
      <c r="B1206" s="290">
        <v>11797</v>
      </c>
      <c r="C1206" s="289">
        <v>10364</v>
      </c>
      <c r="D1206" s="105">
        <f t="shared" si="18"/>
        <v>0.879</v>
      </c>
      <c r="E1206" s="89"/>
    </row>
    <row r="1207" spans="1:5">
      <c r="A1207" s="89" t="s">
        <v>986</v>
      </c>
      <c r="B1207" s="290">
        <v>456</v>
      </c>
      <c r="C1207" s="291">
        <v>719</v>
      </c>
      <c r="D1207" s="105">
        <f t="shared" si="18"/>
        <v>1.577</v>
      </c>
      <c r="E1207" s="89"/>
    </row>
    <row r="1208" spans="1:5">
      <c r="A1208" s="89" t="s">
        <v>987</v>
      </c>
      <c r="B1208" s="290">
        <v>6823</v>
      </c>
      <c r="C1208" s="289">
        <v>3477</v>
      </c>
      <c r="D1208" s="105">
        <f t="shared" si="18"/>
        <v>0.51</v>
      </c>
      <c r="E1208" s="89"/>
    </row>
    <row r="1209" spans="1:5">
      <c r="A1209" s="89" t="s">
        <v>988</v>
      </c>
      <c r="B1209" s="290">
        <v>796</v>
      </c>
      <c r="C1209" s="291">
        <v>366</v>
      </c>
      <c r="D1209" s="105">
        <f t="shared" si="18"/>
        <v>0.46</v>
      </c>
      <c r="E1209" s="89"/>
    </row>
    <row r="1210" spans="1:5">
      <c r="A1210" s="89" t="s">
        <v>68</v>
      </c>
      <c r="B1210" s="290">
        <v>1373</v>
      </c>
      <c r="C1210" s="291">
        <v>1669</v>
      </c>
      <c r="D1210" s="105">
        <f t="shared" si="18"/>
        <v>1.216</v>
      </c>
      <c r="E1210" s="89"/>
    </row>
    <row r="1211" spans="1:5">
      <c r="A1211" s="89" t="s">
        <v>989</v>
      </c>
      <c r="B1211" s="290">
        <v>10287</v>
      </c>
      <c r="C1211" s="289">
        <v>20016</v>
      </c>
      <c r="D1211" s="105">
        <f t="shared" si="18"/>
        <v>1.946</v>
      </c>
      <c r="E1211" s="89"/>
    </row>
    <row r="1212" spans="1:5">
      <c r="A1212" s="89" t="s">
        <v>990</v>
      </c>
      <c r="B1212" s="290">
        <v>72480</v>
      </c>
      <c r="C1212" s="289">
        <v>50118</v>
      </c>
      <c r="D1212" s="105">
        <f t="shared" si="18"/>
        <v>0.69099999999999995</v>
      </c>
      <c r="E1212" s="89"/>
    </row>
    <row r="1213" spans="1:5">
      <c r="A1213" s="89" t="s">
        <v>59</v>
      </c>
      <c r="B1213" s="290">
        <v>12746</v>
      </c>
      <c r="C1213" s="289">
        <v>17759</v>
      </c>
      <c r="D1213" s="105">
        <f t="shared" si="18"/>
        <v>1.393</v>
      </c>
      <c r="E1213" s="89"/>
    </row>
    <row r="1214" spans="1:5">
      <c r="A1214" s="89" t="s">
        <v>60</v>
      </c>
      <c r="B1214" s="290">
        <v>3690</v>
      </c>
      <c r="C1214" s="291">
        <v>2399</v>
      </c>
      <c r="D1214" s="105">
        <f t="shared" si="18"/>
        <v>0.65</v>
      </c>
      <c r="E1214" s="89"/>
    </row>
    <row r="1215" spans="1:5">
      <c r="A1215" s="89" t="s">
        <v>61</v>
      </c>
      <c r="B1215" s="290">
        <v>278</v>
      </c>
      <c r="C1215" s="291">
        <v>282</v>
      </c>
      <c r="D1215" s="105">
        <f t="shared" si="18"/>
        <v>1.014</v>
      </c>
      <c r="E1215" s="89"/>
    </row>
    <row r="1216" spans="1:5">
      <c r="A1216" s="89" t="s">
        <v>991</v>
      </c>
      <c r="B1216" s="290">
        <v>38894</v>
      </c>
      <c r="C1216" s="291">
        <v>19387</v>
      </c>
      <c r="D1216" s="105">
        <f t="shared" si="18"/>
        <v>0.498</v>
      </c>
      <c r="E1216" s="89"/>
    </row>
    <row r="1217" spans="1:5">
      <c r="A1217" s="89" t="s">
        <v>992</v>
      </c>
      <c r="B1217" s="290">
        <v>16872</v>
      </c>
      <c r="C1217" s="291">
        <v>10291</v>
      </c>
      <c r="D1217" s="105">
        <f t="shared" si="18"/>
        <v>0.61</v>
      </c>
      <c r="E1217" s="89"/>
    </row>
    <row r="1218" spans="1:5">
      <c r="A1218" s="89" t="s">
        <v>993</v>
      </c>
      <c r="B1218" s="290">
        <v>19326</v>
      </c>
      <c r="C1218" s="289">
        <v>5290</v>
      </c>
      <c r="D1218" s="105">
        <f t="shared" si="18"/>
        <v>0.27400000000000002</v>
      </c>
      <c r="E1218" s="89"/>
    </row>
    <row r="1219" spans="1:5">
      <c r="A1219" s="89" t="s">
        <v>59</v>
      </c>
      <c r="B1219" s="290">
        <v>0</v>
      </c>
      <c r="C1219" s="289">
        <v>5000</v>
      </c>
      <c r="D1219" s="105" t="str">
        <f t="shared" si="18"/>
        <v/>
      </c>
      <c r="E1219" s="89"/>
    </row>
    <row r="1220" spans="1:5">
      <c r="A1220" s="89" t="s">
        <v>60</v>
      </c>
      <c r="B1220" s="290">
        <v>0</v>
      </c>
      <c r="C1220" s="291">
        <v>0</v>
      </c>
      <c r="D1220" s="105" t="str">
        <f t="shared" si="18"/>
        <v/>
      </c>
      <c r="E1220" s="89"/>
    </row>
    <row r="1221" spans="1:5">
      <c r="A1221" s="89" t="s">
        <v>61</v>
      </c>
      <c r="B1221" s="290">
        <v>0</v>
      </c>
      <c r="C1221" s="291">
        <v>0</v>
      </c>
      <c r="D1221" s="105" t="str">
        <f t="shared" ref="D1221:D1268" si="19">IF(B1221=0,"",ROUND(C1221/B1221,3))</f>
        <v/>
      </c>
      <c r="E1221" s="89"/>
    </row>
    <row r="1222" spans="1:5">
      <c r="A1222" s="89" t="s">
        <v>994</v>
      </c>
      <c r="B1222" s="290">
        <v>7093</v>
      </c>
      <c r="C1222" s="289">
        <v>60</v>
      </c>
      <c r="D1222" s="105">
        <f t="shared" si="19"/>
        <v>8.0000000000000002E-3</v>
      </c>
      <c r="E1222" s="89"/>
    </row>
    <row r="1223" spans="1:5">
      <c r="A1223" s="89" t="s">
        <v>995</v>
      </c>
      <c r="B1223" s="290">
        <v>12233</v>
      </c>
      <c r="C1223" s="291">
        <v>230</v>
      </c>
      <c r="D1223" s="105">
        <f t="shared" si="19"/>
        <v>1.9E-2</v>
      </c>
      <c r="E1223" s="89"/>
    </row>
    <row r="1224" spans="1:5">
      <c r="A1224" s="89" t="s">
        <v>996</v>
      </c>
      <c r="B1224" s="290">
        <v>3242</v>
      </c>
      <c r="C1224" s="291">
        <v>2432</v>
      </c>
      <c r="D1224" s="105">
        <f t="shared" si="19"/>
        <v>0.75</v>
      </c>
      <c r="E1224" s="89"/>
    </row>
    <row r="1225" spans="1:5">
      <c r="A1225" s="89" t="s">
        <v>59</v>
      </c>
      <c r="B1225" s="290">
        <v>1127</v>
      </c>
      <c r="C1225" s="291">
        <v>802</v>
      </c>
      <c r="D1225" s="105">
        <f t="shared" si="19"/>
        <v>0.71199999999999997</v>
      </c>
      <c r="E1225" s="89"/>
    </row>
    <row r="1226" spans="1:5">
      <c r="A1226" s="89" t="s">
        <v>60</v>
      </c>
      <c r="B1226" s="290">
        <v>0</v>
      </c>
      <c r="C1226" s="291">
        <v>0</v>
      </c>
      <c r="D1226" s="105" t="str">
        <f t="shared" si="19"/>
        <v/>
      </c>
      <c r="E1226" s="89"/>
    </row>
    <row r="1227" spans="1:5">
      <c r="A1227" s="89" t="s">
        <v>61</v>
      </c>
      <c r="B1227" s="290">
        <v>0</v>
      </c>
      <c r="C1227" s="291">
        <v>0</v>
      </c>
      <c r="D1227" s="105" t="str">
        <f t="shared" si="19"/>
        <v/>
      </c>
      <c r="E1227" s="89"/>
    </row>
    <row r="1228" spans="1:5">
      <c r="A1228" s="89" t="s">
        <v>997</v>
      </c>
      <c r="B1228" s="290">
        <v>45</v>
      </c>
      <c r="C1228" s="291">
        <v>40</v>
      </c>
      <c r="D1228" s="105">
        <f t="shared" si="19"/>
        <v>0.88900000000000001</v>
      </c>
      <c r="E1228" s="89"/>
    </row>
    <row r="1229" spans="1:5">
      <c r="A1229" s="89" t="s">
        <v>998</v>
      </c>
      <c r="B1229" s="290">
        <v>919</v>
      </c>
      <c r="C1229" s="291">
        <v>930</v>
      </c>
      <c r="D1229" s="105">
        <f t="shared" si="19"/>
        <v>1.012</v>
      </c>
      <c r="E1229" s="89"/>
    </row>
    <row r="1230" spans="1:5">
      <c r="A1230" s="89" t="s">
        <v>68</v>
      </c>
      <c r="B1230" s="290">
        <v>365</v>
      </c>
      <c r="C1230" s="291">
        <v>456</v>
      </c>
      <c r="D1230" s="105">
        <f t="shared" si="19"/>
        <v>1.2490000000000001</v>
      </c>
      <c r="E1230" s="89"/>
    </row>
    <row r="1231" spans="1:5">
      <c r="A1231" s="89" t="s">
        <v>999</v>
      </c>
      <c r="B1231" s="290">
        <v>786</v>
      </c>
      <c r="C1231" s="291">
        <v>204</v>
      </c>
      <c r="D1231" s="105">
        <f t="shared" si="19"/>
        <v>0.26</v>
      </c>
      <c r="E1231" s="89"/>
    </row>
    <row r="1232" spans="1:5">
      <c r="A1232" s="89" t="s">
        <v>1000</v>
      </c>
      <c r="B1232" s="290">
        <v>4950</v>
      </c>
      <c r="C1232" s="289">
        <v>3912</v>
      </c>
      <c r="D1232" s="105">
        <f t="shared" si="19"/>
        <v>0.79</v>
      </c>
      <c r="E1232" s="89"/>
    </row>
    <row r="1233" spans="1:5">
      <c r="A1233" s="89" t="s">
        <v>59</v>
      </c>
      <c r="B1233" s="290">
        <v>2032</v>
      </c>
      <c r="C1233" s="291">
        <v>1570</v>
      </c>
      <c r="D1233" s="105">
        <f t="shared" si="19"/>
        <v>0.77300000000000002</v>
      </c>
      <c r="E1233" s="89"/>
    </row>
    <row r="1234" spans="1:5">
      <c r="A1234" s="89" t="s">
        <v>60</v>
      </c>
      <c r="B1234" s="290">
        <v>18</v>
      </c>
      <c r="C1234" s="291">
        <v>38</v>
      </c>
      <c r="D1234" s="105">
        <f t="shared" si="19"/>
        <v>2.1110000000000002</v>
      </c>
      <c r="E1234" s="89"/>
    </row>
    <row r="1235" spans="1:5">
      <c r="A1235" s="89" t="s">
        <v>61</v>
      </c>
      <c r="B1235" s="290">
        <v>0</v>
      </c>
      <c r="C1235" s="291">
        <v>0</v>
      </c>
      <c r="D1235" s="105" t="str">
        <f t="shared" si="19"/>
        <v/>
      </c>
      <c r="E1235" s="89"/>
    </row>
    <row r="1236" spans="1:5">
      <c r="A1236" s="89" t="s">
        <v>1001</v>
      </c>
      <c r="B1236" s="290">
        <v>624</v>
      </c>
      <c r="C1236" s="289">
        <v>614</v>
      </c>
      <c r="D1236" s="105">
        <f t="shared" si="19"/>
        <v>0.98399999999999999</v>
      </c>
      <c r="E1236" s="89"/>
    </row>
    <row r="1237" spans="1:5">
      <c r="A1237" s="89" t="s">
        <v>1002</v>
      </c>
      <c r="B1237" s="290">
        <v>126</v>
      </c>
      <c r="C1237" s="291">
        <v>43</v>
      </c>
      <c r="D1237" s="105">
        <f t="shared" si="19"/>
        <v>0.34100000000000003</v>
      </c>
      <c r="E1237" s="89"/>
    </row>
    <row r="1238" spans="1:5">
      <c r="A1238" s="89" t="s">
        <v>1003</v>
      </c>
      <c r="B1238" s="290">
        <v>5</v>
      </c>
      <c r="C1238" s="291">
        <v>0</v>
      </c>
      <c r="D1238" s="105">
        <f t="shared" si="19"/>
        <v>0</v>
      </c>
      <c r="E1238" s="89"/>
    </row>
    <row r="1239" spans="1:5">
      <c r="A1239" s="89" t="s">
        <v>1004</v>
      </c>
      <c r="B1239" s="290">
        <v>1298</v>
      </c>
      <c r="C1239" s="289">
        <v>726</v>
      </c>
      <c r="D1239" s="105">
        <f t="shared" si="19"/>
        <v>0.55900000000000005</v>
      </c>
      <c r="E1239" s="89"/>
    </row>
    <row r="1240" spans="1:5">
      <c r="A1240" s="89" t="s">
        <v>1005</v>
      </c>
      <c r="B1240" s="290">
        <v>0</v>
      </c>
      <c r="C1240" s="291">
        <v>0</v>
      </c>
      <c r="D1240" s="105" t="str">
        <f t="shared" si="19"/>
        <v/>
      </c>
      <c r="E1240" s="89"/>
    </row>
    <row r="1241" spans="1:5">
      <c r="A1241" s="89" t="s">
        <v>1006</v>
      </c>
      <c r="B1241" s="290">
        <v>15</v>
      </c>
      <c r="C1241" s="291">
        <v>15</v>
      </c>
      <c r="D1241" s="105">
        <f t="shared" si="19"/>
        <v>1</v>
      </c>
      <c r="E1241" s="89"/>
    </row>
    <row r="1242" spans="1:5">
      <c r="A1242" s="89" t="s">
        <v>1007</v>
      </c>
      <c r="B1242" s="290">
        <v>23</v>
      </c>
      <c r="C1242" s="291">
        <v>10</v>
      </c>
      <c r="D1242" s="105">
        <f t="shared" si="19"/>
        <v>0.435</v>
      </c>
      <c r="E1242" s="89"/>
    </row>
    <row r="1243" spans="1:5">
      <c r="A1243" s="89" t="s">
        <v>1008</v>
      </c>
      <c r="B1243" s="290">
        <v>781</v>
      </c>
      <c r="C1243" s="289">
        <v>785</v>
      </c>
      <c r="D1243" s="105">
        <f t="shared" si="19"/>
        <v>1.0049999999999999</v>
      </c>
      <c r="E1243" s="89"/>
    </row>
    <row r="1244" spans="1:5">
      <c r="A1244" s="89" t="s">
        <v>1009</v>
      </c>
      <c r="B1244" s="290">
        <v>28</v>
      </c>
      <c r="C1244" s="291">
        <v>111</v>
      </c>
      <c r="D1244" s="105">
        <f t="shared" si="19"/>
        <v>3.964</v>
      </c>
      <c r="E1244" s="89"/>
    </row>
    <row r="1245" spans="1:5">
      <c r="A1245" s="89" t="s">
        <v>1010</v>
      </c>
      <c r="B1245" s="290">
        <v>11346</v>
      </c>
      <c r="C1245" s="289">
        <v>6924</v>
      </c>
      <c r="D1245" s="105">
        <f t="shared" si="19"/>
        <v>0.61</v>
      </c>
      <c r="E1245" s="89"/>
    </row>
    <row r="1246" spans="1:5">
      <c r="A1246" s="89" t="s">
        <v>1011</v>
      </c>
      <c r="B1246" s="290">
        <v>10322</v>
      </c>
      <c r="C1246" s="289">
        <v>4400</v>
      </c>
      <c r="D1246" s="105">
        <f t="shared" si="19"/>
        <v>0.42599999999999999</v>
      </c>
      <c r="E1246" s="89"/>
    </row>
    <row r="1247" spans="1:5">
      <c r="A1247" s="89" t="s">
        <v>1012</v>
      </c>
      <c r="B1247" s="290">
        <v>13</v>
      </c>
      <c r="C1247" s="291">
        <v>18</v>
      </c>
      <c r="D1247" s="105">
        <f t="shared" si="19"/>
        <v>1.385</v>
      </c>
      <c r="E1247" s="89"/>
    </row>
    <row r="1248" spans="1:5">
      <c r="A1248" s="89" t="s">
        <v>1013</v>
      </c>
      <c r="B1248" s="290">
        <v>1011</v>
      </c>
      <c r="C1248" s="289">
        <v>2506</v>
      </c>
      <c r="D1248" s="105">
        <f t="shared" si="19"/>
        <v>2.4790000000000001</v>
      </c>
      <c r="E1248" s="89"/>
    </row>
    <row r="1249" spans="1:5">
      <c r="A1249" s="89" t="s">
        <v>1014</v>
      </c>
      <c r="B1249" s="290">
        <v>12882</v>
      </c>
      <c r="C1249" s="291">
        <v>4084</v>
      </c>
      <c r="D1249" s="105">
        <f t="shared" si="19"/>
        <v>0.317</v>
      </c>
      <c r="E1249" s="89"/>
    </row>
    <row r="1250" spans="1:5">
      <c r="A1250" s="89" t="s">
        <v>1015</v>
      </c>
      <c r="B1250" s="290">
        <v>11516</v>
      </c>
      <c r="C1250" s="291">
        <v>3552</v>
      </c>
      <c r="D1250" s="105">
        <f t="shared" si="19"/>
        <v>0.308</v>
      </c>
      <c r="E1250" s="89"/>
    </row>
    <row r="1251" spans="1:5">
      <c r="A1251" s="89" t="s">
        <v>1016</v>
      </c>
      <c r="B1251" s="290">
        <v>268</v>
      </c>
      <c r="C1251" s="291">
        <v>6</v>
      </c>
      <c r="D1251" s="105">
        <f t="shared" si="19"/>
        <v>2.1999999999999999E-2</v>
      </c>
      <c r="E1251" s="89"/>
    </row>
    <row r="1252" spans="1:5">
      <c r="A1252" s="89" t="s">
        <v>1017</v>
      </c>
      <c r="B1252" s="290">
        <v>1098</v>
      </c>
      <c r="C1252" s="291">
        <v>526</v>
      </c>
      <c r="D1252" s="105">
        <f t="shared" si="19"/>
        <v>0.47899999999999998</v>
      </c>
      <c r="E1252" s="89"/>
    </row>
    <row r="1253" spans="1:5">
      <c r="A1253" s="89" t="s">
        <v>1018</v>
      </c>
      <c r="B1253" s="290">
        <v>26903</v>
      </c>
      <c r="C1253" s="289">
        <v>11449</v>
      </c>
      <c r="D1253" s="105">
        <f t="shared" si="19"/>
        <v>0.42599999999999999</v>
      </c>
      <c r="E1253" s="89"/>
    </row>
    <row r="1254" spans="1:5">
      <c r="A1254" s="89" t="s">
        <v>1019</v>
      </c>
      <c r="B1254" s="290"/>
      <c r="C1254" s="289">
        <v>464000</v>
      </c>
      <c r="D1254" s="105" t="str">
        <f t="shared" si="19"/>
        <v/>
      </c>
      <c r="E1254" s="89"/>
    </row>
    <row r="1255" spans="1:5">
      <c r="A1255" s="89" t="s">
        <v>1020</v>
      </c>
      <c r="B1255" s="290">
        <v>1221414</v>
      </c>
      <c r="C1255" s="289">
        <v>1604226</v>
      </c>
      <c r="D1255" s="105">
        <f t="shared" si="19"/>
        <v>1.3129999999999999</v>
      </c>
      <c r="E1255" s="89"/>
    </row>
    <row r="1256" spans="1:5">
      <c r="A1256" s="89" t="s">
        <v>1021</v>
      </c>
      <c r="B1256" s="290">
        <v>1221414</v>
      </c>
      <c r="C1256" s="289">
        <v>1604226</v>
      </c>
      <c r="D1256" s="105">
        <f t="shared" si="19"/>
        <v>1.3129999999999999</v>
      </c>
      <c r="E1256" s="89"/>
    </row>
    <row r="1257" spans="1:5">
      <c r="A1257" s="89" t="s">
        <v>1022</v>
      </c>
      <c r="B1257" s="290">
        <v>1216471</v>
      </c>
      <c r="C1257" s="289">
        <v>1594062</v>
      </c>
      <c r="D1257" s="105">
        <f t="shared" si="19"/>
        <v>1.31</v>
      </c>
      <c r="E1257" s="89"/>
    </row>
    <row r="1258" spans="1:5">
      <c r="A1258" s="89" t="s">
        <v>1023</v>
      </c>
      <c r="B1258" s="290">
        <v>1120</v>
      </c>
      <c r="C1258" s="289">
        <v>916</v>
      </c>
      <c r="D1258" s="105">
        <f t="shared" si="19"/>
        <v>0.81799999999999995</v>
      </c>
      <c r="E1258" s="89"/>
    </row>
    <row r="1259" spans="1:5">
      <c r="A1259" s="89" t="s">
        <v>1024</v>
      </c>
      <c r="B1259" s="290">
        <v>2279</v>
      </c>
      <c r="C1259" s="291">
        <v>2279</v>
      </c>
      <c r="D1259" s="105">
        <f t="shared" si="19"/>
        <v>1</v>
      </c>
      <c r="E1259" s="89"/>
    </row>
    <row r="1260" spans="1:5">
      <c r="A1260" s="89" t="s">
        <v>1025</v>
      </c>
      <c r="B1260" s="290">
        <v>1544</v>
      </c>
      <c r="C1260" s="291">
        <v>6969</v>
      </c>
      <c r="D1260" s="105">
        <f t="shared" si="19"/>
        <v>4.5140000000000002</v>
      </c>
      <c r="E1260" s="89"/>
    </row>
    <row r="1261" spans="1:5">
      <c r="A1261" s="89" t="s">
        <v>1026</v>
      </c>
      <c r="B1261" s="290">
        <v>6848</v>
      </c>
      <c r="C1261" s="289">
        <v>3406</v>
      </c>
      <c r="D1261" s="105">
        <f t="shared" si="19"/>
        <v>0.497</v>
      </c>
      <c r="E1261" s="89"/>
    </row>
    <row r="1262" spans="1:5">
      <c r="A1262" s="89" t="s">
        <v>1027</v>
      </c>
      <c r="B1262" s="290">
        <v>6848</v>
      </c>
      <c r="C1262" s="289">
        <v>3406</v>
      </c>
      <c r="D1262" s="105">
        <f t="shared" si="19"/>
        <v>0.497</v>
      </c>
      <c r="E1262" s="93"/>
    </row>
    <row r="1263" spans="1:5">
      <c r="A1263" s="89" t="s">
        <v>1028</v>
      </c>
      <c r="B1263" s="290">
        <v>603808</v>
      </c>
      <c r="C1263" s="289">
        <v>1488162</v>
      </c>
      <c r="D1263" s="105">
        <f t="shared" si="19"/>
        <v>2.4649999999999999</v>
      </c>
      <c r="E1263" s="89"/>
    </row>
    <row r="1264" spans="1:5">
      <c r="A1264" s="89" t="s">
        <v>1029</v>
      </c>
      <c r="B1264" s="290"/>
      <c r="C1264" s="289">
        <v>413338</v>
      </c>
      <c r="D1264" s="105" t="str">
        <f t="shared" si="19"/>
        <v/>
      </c>
      <c r="E1264" s="89"/>
    </row>
    <row r="1265" spans="1:5">
      <c r="A1265" s="89" t="s">
        <v>883</v>
      </c>
      <c r="B1265" s="290">
        <v>603808</v>
      </c>
      <c r="C1265" s="289">
        <v>1074824</v>
      </c>
      <c r="D1265" s="105">
        <f t="shared" si="19"/>
        <v>1.78</v>
      </c>
      <c r="E1265" s="89"/>
    </row>
    <row r="1266" spans="1:5">
      <c r="A1266" s="33"/>
      <c r="B1266" s="292"/>
      <c r="C1266" s="120">
        <v>0</v>
      </c>
      <c r="D1266" s="105" t="str">
        <f t="shared" si="19"/>
        <v/>
      </c>
      <c r="E1266" s="33"/>
    </row>
    <row r="1267" spans="1:5">
      <c r="A1267" s="33"/>
      <c r="B1267" s="292"/>
      <c r="C1267" s="120">
        <v>0</v>
      </c>
      <c r="D1267" s="105" t="str">
        <f t="shared" si="19"/>
        <v/>
      </c>
      <c r="E1267" s="33"/>
    </row>
    <row r="1268" spans="1:5">
      <c r="A1268" s="57" t="s">
        <v>1030</v>
      </c>
      <c r="B1268" s="292">
        <v>55250032</v>
      </c>
      <c r="C1268" s="120">
        <v>44449209</v>
      </c>
      <c r="D1268" s="105">
        <f t="shared" si="19"/>
        <v>0.80500000000000005</v>
      </c>
      <c r="E1268" s="33"/>
    </row>
  </sheetData>
  <mergeCells count="1">
    <mergeCell ref="A2:E2"/>
  </mergeCells>
  <phoneticPr fontId="14" type="noConversion"/>
  <printOptions horizontalCentered="1"/>
  <pageMargins left="0.31496062992126" right="0.31496062992126" top="0.35433070866141703" bottom="0.35433070866141703" header="0.31496062992126" footer="0.31496062992126"/>
  <pageSetup paperSize="9" scale="80" orientation="portrait"/>
</worksheet>
</file>

<file path=xl/worksheets/sheet5.xml><?xml version="1.0" encoding="utf-8"?>
<worksheet xmlns="http://schemas.openxmlformats.org/spreadsheetml/2006/main" xmlns:r="http://schemas.openxmlformats.org/officeDocument/2006/relationships">
  <dimension ref="A1:G109"/>
  <sheetViews>
    <sheetView showGridLines="0" showZeros="0" workbookViewId="0">
      <pane xSplit="1" ySplit="5" topLeftCell="B6" activePane="bottomRight" state="frozen"/>
      <selection pane="topRight" activeCell="B1" sqref="B1"/>
      <selection pane="bottomLeft" activeCell="A6" sqref="A6"/>
      <selection pane="bottomRight" activeCell="B89" sqref="B89"/>
    </sheetView>
  </sheetViews>
  <sheetFormatPr defaultColWidth="9" defaultRowHeight="13.5"/>
  <cols>
    <col min="1" max="1" width="50.125" style="68" customWidth="1"/>
    <col min="2" max="2" width="20.5" style="68" customWidth="1"/>
    <col min="3" max="3" width="16.625" style="68" customWidth="1"/>
    <col min="4" max="4" width="43.625" style="68" customWidth="1"/>
    <col min="5" max="5" width="19.5" style="68" customWidth="1"/>
    <col min="6" max="6" width="16.625" style="68" customWidth="1"/>
    <col min="7" max="7" width="9.5" style="68" bestFit="1" customWidth="1"/>
    <col min="8" max="16384" width="9" style="68"/>
  </cols>
  <sheetData>
    <row r="1" spans="1:6" ht="18" customHeight="1">
      <c r="A1" s="69" t="s">
        <v>1031</v>
      </c>
    </row>
    <row r="2" spans="1:6" s="66" customFormat="1" ht="20.25">
      <c r="A2" s="354" t="s">
        <v>1032</v>
      </c>
      <c r="B2" s="354"/>
      <c r="C2" s="354"/>
      <c r="D2" s="354"/>
      <c r="E2" s="354"/>
      <c r="F2" s="354"/>
    </row>
    <row r="3" spans="1:6" ht="20.25" customHeight="1">
      <c r="F3" s="72" t="s">
        <v>22</v>
      </c>
    </row>
    <row r="4" spans="1:6" ht="31.5" customHeight="1">
      <c r="A4" s="355" t="s">
        <v>1033</v>
      </c>
      <c r="B4" s="356"/>
      <c r="C4" s="357"/>
      <c r="D4" s="355" t="s">
        <v>1034</v>
      </c>
      <c r="E4" s="356"/>
      <c r="F4" s="357"/>
    </row>
    <row r="5" spans="1:6" ht="21.95" customHeight="1">
      <c r="A5" s="70" t="s">
        <v>23</v>
      </c>
      <c r="B5" s="71" t="s">
        <v>24</v>
      </c>
      <c r="C5" s="70" t="s">
        <v>25</v>
      </c>
      <c r="D5" s="70" t="s">
        <v>23</v>
      </c>
      <c r="E5" s="71" t="s">
        <v>24</v>
      </c>
      <c r="F5" s="70" t="s">
        <v>25</v>
      </c>
    </row>
    <row r="6" spans="1:6" s="241" customFormat="1" ht="20.100000000000001" customHeight="1">
      <c r="A6" s="240" t="s">
        <v>1035</v>
      </c>
      <c r="B6" s="106">
        <v>14772166</v>
      </c>
      <c r="C6" s="254">
        <v>15434897</v>
      </c>
      <c r="D6" s="240" t="s">
        <v>1036</v>
      </c>
      <c r="E6" s="255">
        <v>55250032</v>
      </c>
      <c r="F6" s="256">
        <v>44449209</v>
      </c>
    </row>
    <row r="7" spans="1:6" s="241" customFormat="1" ht="20.100000000000001" customHeight="1">
      <c r="A7" s="242" t="s">
        <v>1037</v>
      </c>
      <c r="B7" s="106">
        <f>SUM(B8,B76,B77,B81,B82,B83,B84)</f>
        <v>49191509</v>
      </c>
      <c r="C7" s="106">
        <f>SUM(C8,C76,C77,C81,C82,C83,C84)</f>
        <v>32930361</v>
      </c>
      <c r="D7" s="242" t="s">
        <v>1038</v>
      </c>
      <c r="E7" s="106">
        <f>SUM(E8,E77,E78,E79,E80,E81,E82,E83)</f>
        <v>8713643</v>
      </c>
      <c r="F7" s="106">
        <f>SUM(F8,F77,F78,F79,F80,F81,F82,F83)</f>
        <v>3916049</v>
      </c>
    </row>
    <row r="8" spans="1:6" s="241" customFormat="1" ht="20.100000000000001" customHeight="1">
      <c r="A8" s="243" t="s">
        <v>1039</v>
      </c>
      <c r="B8" s="107">
        <f>SUM(B9,B16,B52)</f>
        <v>36213179</v>
      </c>
      <c r="C8" s="107">
        <f>SUM(C9,C16,C52)</f>
        <v>27558795</v>
      </c>
      <c r="D8" s="243" t="s">
        <v>1040</v>
      </c>
      <c r="E8" s="107">
        <v>1115102</v>
      </c>
      <c r="F8" s="107">
        <f>SUM(F9:F10)</f>
        <v>1177816</v>
      </c>
    </row>
    <row r="9" spans="1:6" s="241" customFormat="1" ht="20.100000000000001" customHeight="1">
      <c r="A9" s="243" t="s">
        <v>1041</v>
      </c>
      <c r="B9" s="108">
        <f>SUM(B10:B15)</f>
        <v>1260093</v>
      </c>
      <c r="C9" s="107">
        <v>790393</v>
      </c>
      <c r="D9" s="243" t="s">
        <v>1042</v>
      </c>
      <c r="E9" s="107">
        <v>24500</v>
      </c>
      <c r="F9" s="107">
        <v>24500</v>
      </c>
    </row>
    <row r="10" spans="1:6" s="241" customFormat="1" ht="20.100000000000001" customHeight="1">
      <c r="A10" s="73" t="s">
        <v>1043</v>
      </c>
      <c r="B10" s="108">
        <v>72672</v>
      </c>
      <c r="C10" s="107">
        <v>72672</v>
      </c>
      <c r="D10" s="243" t="s">
        <v>1044</v>
      </c>
      <c r="E10" s="107">
        <v>1090602</v>
      </c>
      <c r="F10" s="107">
        <v>1153316</v>
      </c>
    </row>
    <row r="11" spans="1:6" s="241" customFormat="1" ht="20.100000000000001" customHeight="1">
      <c r="A11" s="73" t="s">
        <v>1045</v>
      </c>
      <c r="B11" s="108">
        <v>317900</v>
      </c>
      <c r="C11" s="107">
        <v>317900</v>
      </c>
      <c r="D11" s="243"/>
      <c r="E11" s="107"/>
      <c r="F11" s="107"/>
    </row>
    <row r="12" spans="1:6" s="241" customFormat="1" ht="20.100000000000001" customHeight="1">
      <c r="A12" s="73" t="s">
        <v>1046</v>
      </c>
      <c r="B12" s="108">
        <v>339721</v>
      </c>
      <c r="C12" s="107">
        <v>339721</v>
      </c>
      <c r="D12" s="243" t="s">
        <v>0</v>
      </c>
      <c r="E12" s="107"/>
      <c r="F12" s="107"/>
    </row>
    <row r="13" spans="1:6" s="241" customFormat="1" ht="20.100000000000001" customHeight="1">
      <c r="A13" s="73" t="s">
        <v>1047</v>
      </c>
      <c r="B13" s="108">
        <v>60100</v>
      </c>
      <c r="C13" s="107">
        <v>60100</v>
      </c>
      <c r="D13" s="243" t="s">
        <v>0</v>
      </c>
      <c r="E13" s="107"/>
      <c r="F13" s="107"/>
    </row>
    <row r="14" spans="1:6" s="241" customFormat="1" ht="20.100000000000001" customHeight="1">
      <c r="A14" s="73" t="s">
        <v>1048</v>
      </c>
      <c r="B14" s="108">
        <v>469700</v>
      </c>
      <c r="C14" s="107"/>
      <c r="D14" s="243" t="s">
        <v>0</v>
      </c>
      <c r="E14" s="107"/>
      <c r="F14" s="107"/>
    </row>
    <row r="15" spans="1:6" s="241" customFormat="1" ht="20.100000000000001" customHeight="1">
      <c r="A15" s="73" t="s">
        <v>1049</v>
      </c>
      <c r="B15" s="108">
        <v>0</v>
      </c>
      <c r="C15" s="107"/>
      <c r="D15" s="243" t="s">
        <v>0</v>
      </c>
      <c r="E15" s="107"/>
      <c r="F15" s="107"/>
    </row>
    <row r="16" spans="1:6" s="241" customFormat="1" ht="20.100000000000001" customHeight="1">
      <c r="A16" s="73" t="s">
        <v>1050</v>
      </c>
      <c r="B16" s="107">
        <f>SUM(B17:B51)</f>
        <v>30289732</v>
      </c>
      <c r="C16" s="107">
        <f>SUM(C17:C51)</f>
        <v>26108201</v>
      </c>
      <c r="D16" s="243" t="s">
        <v>0</v>
      </c>
      <c r="E16" s="107"/>
      <c r="F16" s="107"/>
    </row>
    <row r="17" spans="1:6" s="241" customFormat="1" ht="20.100000000000001" customHeight="1">
      <c r="A17" s="73" t="s">
        <v>1051</v>
      </c>
      <c r="B17" s="107">
        <v>193723</v>
      </c>
      <c r="C17" s="107">
        <v>193723</v>
      </c>
      <c r="D17" s="243" t="s">
        <v>0</v>
      </c>
      <c r="E17" s="107"/>
      <c r="F17" s="107"/>
    </row>
    <row r="18" spans="1:6" s="241" customFormat="1" ht="20.100000000000001" customHeight="1">
      <c r="A18" s="244" t="s">
        <v>1052</v>
      </c>
      <c r="B18" s="107">
        <v>7876700</v>
      </c>
      <c r="C18" s="107">
        <v>7800500</v>
      </c>
      <c r="D18" s="243" t="s">
        <v>0</v>
      </c>
      <c r="E18" s="107"/>
      <c r="F18" s="107"/>
    </row>
    <row r="19" spans="1:6" s="241" customFormat="1" ht="20.100000000000001" customHeight="1">
      <c r="A19" s="245" t="s">
        <v>1053</v>
      </c>
      <c r="B19" s="107">
        <v>1698885</v>
      </c>
      <c r="C19" s="107">
        <v>980627</v>
      </c>
      <c r="D19" s="243" t="s">
        <v>0</v>
      </c>
      <c r="E19" s="107"/>
      <c r="F19" s="107"/>
    </row>
    <row r="20" spans="1:6" s="241" customFormat="1" ht="20.100000000000001" customHeight="1">
      <c r="A20" s="245" t="s">
        <v>1054</v>
      </c>
      <c r="B20" s="107">
        <v>1037553</v>
      </c>
      <c r="C20" s="257">
        <v>415452</v>
      </c>
      <c r="D20" s="243" t="s">
        <v>0</v>
      </c>
      <c r="E20" s="107"/>
      <c r="F20" s="107"/>
    </row>
    <row r="21" spans="1:6" s="241" customFormat="1" ht="20.100000000000001" customHeight="1">
      <c r="A21" s="245" t="s">
        <v>1055</v>
      </c>
      <c r="B21" s="107">
        <v>14900</v>
      </c>
      <c r="C21" s="107">
        <v>10500</v>
      </c>
      <c r="D21" s="243" t="s">
        <v>0</v>
      </c>
      <c r="E21" s="107"/>
      <c r="F21" s="107"/>
    </row>
    <row r="22" spans="1:6" s="241" customFormat="1" ht="20.100000000000001" customHeight="1">
      <c r="A22" s="245" t="s">
        <v>1056</v>
      </c>
      <c r="B22" s="107">
        <v>95232</v>
      </c>
      <c r="C22" s="107">
        <v>95232</v>
      </c>
      <c r="D22" s="243" t="s">
        <v>0</v>
      </c>
      <c r="E22" s="107"/>
      <c r="F22" s="107"/>
    </row>
    <row r="23" spans="1:6" s="241" customFormat="1" ht="20.100000000000001" customHeight="1">
      <c r="A23" s="245" t="s">
        <v>1057</v>
      </c>
      <c r="B23" s="108">
        <v>90554</v>
      </c>
      <c r="C23" s="107">
        <v>72749</v>
      </c>
      <c r="D23" s="245" t="s">
        <v>0</v>
      </c>
      <c r="E23" s="107"/>
      <c r="F23" s="107"/>
    </row>
    <row r="24" spans="1:6" s="241" customFormat="1" ht="20.100000000000001" customHeight="1">
      <c r="A24" s="245" t="s">
        <v>1058</v>
      </c>
      <c r="B24" s="108">
        <v>451900</v>
      </c>
      <c r="C24" s="107">
        <v>406700</v>
      </c>
      <c r="D24" s="245" t="s">
        <v>0</v>
      </c>
      <c r="E24" s="107"/>
      <c r="F24" s="107"/>
    </row>
    <row r="25" spans="1:6" s="241" customFormat="1" ht="20.100000000000001" customHeight="1">
      <c r="A25" s="245" t="s">
        <v>1059</v>
      </c>
      <c r="B25" s="108">
        <v>3042711</v>
      </c>
      <c r="C25" s="257">
        <v>3042611</v>
      </c>
      <c r="D25" s="244" t="s">
        <v>0</v>
      </c>
      <c r="E25" s="107"/>
      <c r="F25" s="107"/>
    </row>
    <row r="26" spans="1:6" s="241" customFormat="1" ht="20.100000000000001" customHeight="1">
      <c r="A26" s="245" t="s">
        <v>1060</v>
      </c>
      <c r="B26" s="108">
        <v>0</v>
      </c>
      <c r="C26" s="107"/>
      <c r="D26" s="245" t="s">
        <v>0</v>
      </c>
      <c r="E26" s="107"/>
      <c r="F26" s="107"/>
    </row>
    <row r="27" spans="1:6" s="241" customFormat="1" ht="20.100000000000001" customHeight="1">
      <c r="A27" s="245" t="s">
        <v>1061</v>
      </c>
      <c r="B27" s="108">
        <v>1281269</v>
      </c>
      <c r="C27" s="107">
        <v>1281269</v>
      </c>
      <c r="D27" s="245" t="s">
        <v>0</v>
      </c>
      <c r="E27" s="107"/>
      <c r="F27" s="107"/>
    </row>
    <row r="28" spans="1:6" s="241" customFormat="1" ht="20.100000000000001" customHeight="1">
      <c r="A28" s="245" t="s">
        <v>1062</v>
      </c>
      <c r="B28" s="108">
        <v>419902</v>
      </c>
      <c r="C28" s="107">
        <v>377900</v>
      </c>
      <c r="D28" s="245" t="s">
        <v>0</v>
      </c>
      <c r="E28" s="107"/>
      <c r="F28" s="107"/>
    </row>
    <row r="29" spans="1:6" s="241" customFormat="1" ht="20.100000000000001" customHeight="1">
      <c r="A29" s="245" t="s">
        <v>1063</v>
      </c>
      <c r="B29" s="108">
        <v>1369629</v>
      </c>
      <c r="C29" s="107">
        <v>1020099</v>
      </c>
      <c r="D29" s="245" t="s">
        <v>0</v>
      </c>
      <c r="E29" s="107"/>
      <c r="F29" s="107"/>
    </row>
    <row r="30" spans="1:6" s="241" customFormat="1" ht="20.100000000000001" customHeight="1">
      <c r="A30" s="246" t="s">
        <v>1064</v>
      </c>
      <c r="B30" s="109"/>
      <c r="C30" s="107"/>
      <c r="D30" s="245" t="s">
        <v>0</v>
      </c>
      <c r="E30" s="107"/>
      <c r="F30" s="107"/>
    </row>
    <row r="31" spans="1:6" s="241" customFormat="1" ht="20.100000000000001" customHeight="1">
      <c r="A31" s="246" t="s">
        <v>1065</v>
      </c>
      <c r="B31" s="109"/>
      <c r="C31" s="107"/>
      <c r="D31" s="245" t="s">
        <v>0</v>
      </c>
      <c r="E31" s="107"/>
      <c r="F31" s="107"/>
    </row>
    <row r="32" spans="1:6" s="241" customFormat="1" ht="20.100000000000001" customHeight="1">
      <c r="A32" s="246" t="s">
        <v>1066</v>
      </c>
      <c r="B32" s="109"/>
      <c r="C32" s="107"/>
      <c r="D32" s="245" t="s">
        <v>0</v>
      </c>
      <c r="E32" s="107"/>
      <c r="F32" s="107"/>
    </row>
    <row r="33" spans="1:6" s="241" customFormat="1" ht="20.100000000000001" customHeight="1">
      <c r="A33" s="246" t="s">
        <v>1067</v>
      </c>
      <c r="B33" s="109">
        <v>334146</v>
      </c>
      <c r="C33" s="107">
        <v>263100</v>
      </c>
      <c r="D33" s="245" t="s">
        <v>0</v>
      </c>
      <c r="E33" s="107"/>
      <c r="F33" s="107"/>
    </row>
    <row r="34" spans="1:6" s="241" customFormat="1" ht="20.100000000000001" customHeight="1">
      <c r="A34" s="246" t="s">
        <v>1068</v>
      </c>
      <c r="B34" s="109">
        <v>1189755</v>
      </c>
      <c r="C34" s="107">
        <v>1087259</v>
      </c>
      <c r="D34" s="243" t="s">
        <v>0</v>
      </c>
      <c r="E34" s="107"/>
      <c r="F34" s="107"/>
    </row>
    <row r="35" spans="1:6" s="241" customFormat="1" ht="20.100000000000001" customHeight="1">
      <c r="A35" s="246" t="s">
        <v>1069</v>
      </c>
      <c r="B35" s="109">
        <v>4350</v>
      </c>
      <c r="C35" s="107">
        <v>3480</v>
      </c>
      <c r="D35" s="243" t="s">
        <v>0</v>
      </c>
      <c r="E35" s="107"/>
      <c r="F35" s="107"/>
    </row>
    <row r="36" spans="1:6" s="241" customFormat="1" ht="20.100000000000001" customHeight="1">
      <c r="A36" s="246" t="s">
        <v>1070</v>
      </c>
      <c r="B36" s="109">
        <v>87586</v>
      </c>
      <c r="C36" s="311">
        <v>69468</v>
      </c>
      <c r="D36" s="243" t="s">
        <v>0</v>
      </c>
      <c r="E36" s="107"/>
      <c r="F36" s="107"/>
    </row>
    <row r="37" spans="1:6" s="241" customFormat="1" ht="20.100000000000001" customHeight="1">
      <c r="A37" s="246" t="s">
        <v>1071</v>
      </c>
      <c r="B37" s="109">
        <v>2962636</v>
      </c>
      <c r="C37" s="311">
        <v>2491666</v>
      </c>
      <c r="D37" s="243" t="s">
        <v>0</v>
      </c>
      <c r="E37" s="107"/>
      <c r="F37" s="107"/>
    </row>
    <row r="38" spans="1:6" s="241" customFormat="1" ht="20.100000000000001" customHeight="1">
      <c r="A38" s="246" t="s">
        <v>1072</v>
      </c>
      <c r="B38" s="109">
        <v>1199026</v>
      </c>
      <c r="C38" s="107">
        <v>1058905</v>
      </c>
      <c r="D38" s="243" t="s">
        <v>0</v>
      </c>
      <c r="E38" s="107"/>
      <c r="F38" s="107"/>
    </row>
    <row r="39" spans="1:6" s="241" customFormat="1" ht="20.100000000000001" customHeight="1">
      <c r="A39" s="246" t="s">
        <v>1073</v>
      </c>
      <c r="B39" s="109">
        <v>223315</v>
      </c>
      <c r="C39" s="107">
        <v>290859</v>
      </c>
      <c r="D39" s="243" t="s">
        <v>0</v>
      </c>
      <c r="E39" s="107"/>
      <c r="F39" s="107"/>
    </row>
    <row r="40" spans="1:6" s="241" customFormat="1" ht="20.100000000000001" customHeight="1">
      <c r="A40" s="246" t="s">
        <v>1074</v>
      </c>
      <c r="B40" s="109">
        <v>0</v>
      </c>
      <c r="C40" s="107"/>
      <c r="D40" s="243" t="s">
        <v>0</v>
      </c>
      <c r="E40" s="107"/>
      <c r="F40" s="107"/>
    </row>
    <row r="41" spans="1:6" s="241" customFormat="1" ht="20.100000000000001" customHeight="1">
      <c r="A41" s="246" t="s">
        <v>1075</v>
      </c>
      <c r="B41" s="109">
        <v>3588133</v>
      </c>
      <c r="C41" s="107">
        <v>3122856</v>
      </c>
      <c r="D41" s="243" t="s">
        <v>0</v>
      </c>
      <c r="E41" s="107"/>
      <c r="F41" s="107"/>
    </row>
    <row r="42" spans="1:6" s="241" customFormat="1" ht="20.100000000000001" customHeight="1">
      <c r="A42" s="246" t="s">
        <v>1076</v>
      </c>
      <c r="B42" s="109">
        <v>2301076</v>
      </c>
      <c r="C42" s="107">
        <v>1772412</v>
      </c>
      <c r="D42" s="243" t="s">
        <v>0</v>
      </c>
      <c r="E42" s="107"/>
      <c r="F42" s="107"/>
    </row>
    <row r="43" spans="1:6" s="241" customFormat="1" ht="20.100000000000001" customHeight="1">
      <c r="A43" s="246" t="s">
        <v>1077</v>
      </c>
      <c r="B43" s="109">
        <v>34621</v>
      </c>
      <c r="C43" s="107"/>
      <c r="D43" s="243" t="s">
        <v>0</v>
      </c>
      <c r="E43" s="107"/>
      <c r="F43" s="107"/>
    </row>
    <row r="44" spans="1:6" s="241" customFormat="1" ht="20.100000000000001" customHeight="1">
      <c r="A44" s="246" t="s">
        <v>1078</v>
      </c>
      <c r="B44" s="109">
        <v>0</v>
      </c>
      <c r="C44" s="107"/>
      <c r="D44" s="243" t="s">
        <v>0</v>
      </c>
      <c r="E44" s="107"/>
      <c r="F44" s="107"/>
    </row>
    <row r="45" spans="1:6" s="241" customFormat="1" ht="20.100000000000001" customHeight="1">
      <c r="A45" s="246" t="s">
        <v>1079</v>
      </c>
      <c r="B45" s="109">
        <v>0</v>
      </c>
      <c r="C45" s="107"/>
      <c r="D45" s="243" t="s">
        <v>0</v>
      </c>
      <c r="E45" s="107"/>
      <c r="F45" s="107"/>
    </row>
    <row r="46" spans="1:6" s="241" customFormat="1" ht="20.100000000000001" customHeight="1">
      <c r="A46" s="246" t="s">
        <v>1080</v>
      </c>
      <c r="B46" s="109">
        <v>0</v>
      </c>
      <c r="C46" s="107"/>
      <c r="D46" s="243" t="s">
        <v>0</v>
      </c>
      <c r="E46" s="107"/>
      <c r="F46" s="107"/>
    </row>
    <row r="47" spans="1:6" s="241" customFormat="1" ht="20.100000000000001" customHeight="1">
      <c r="A47" s="246" t="s">
        <v>1081</v>
      </c>
      <c r="B47" s="109">
        <v>361619</v>
      </c>
      <c r="C47" s="112">
        <v>201499</v>
      </c>
      <c r="D47" s="243" t="s">
        <v>0</v>
      </c>
      <c r="E47" s="107"/>
      <c r="F47" s="107"/>
    </row>
    <row r="48" spans="1:6" s="241" customFormat="1" ht="20.100000000000001" customHeight="1">
      <c r="A48" s="246" t="s">
        <v>1082</v>
      </c>
      <c r="B48" s="109">
        <v>42664</v>
      </c>
      <c r="C48" s="107">
        <v>42755</v>
      </c>
      <c r="D48" s="245" t="s">
        <v>0</v>
      </c>
      <c r="E48" s="107"/>
      <c r="F48" s="107"/>
    </row>
    <row r="49" spans="1:6" s="241" customFormat="1" ht="20.100000000000001" customHeight="1">
      <c r="A49" s="246" t="s">
        <v>1083</v>
      </c>
      <c r="B49" s="109">
        <v>0</v>
      </c>
      <c r="C49" s="107">
        <v>1181</v>
      </c>
      <c r="D49" s="245"/>
      <c r="E49" s="107"/>
      <c r="F49" s="107"/>
    </row>
    <row r="50" spans="1:6" s="241" customFormat="1" ht="20.100000000000001" customHeight="1">
      <c r="A50" s="246" t="s">
        <v>1084</v>
      </c>
      <c r="B50" s="109">
        <v>30899</v>
      </c>
      <c r="C50" s="107"/>
      <c r="D50" s="245" t="s">
        <v>0</v>
      </c>
      <c r="E50" s="107"/>
      <c r="F50" s="107"/>
    </row>
    <row r="51" spans="1:6" s="241" customFormat="1" ht="20.100000000000001" customHeight="1">
      <c r="A51" s="245" t="s">
        <v>1085</v>
      </c>
      <c r="B51" s="107">
        <v>356948</v>
      </c>
      <c r="C51" s="107">
        <v>5399</v>
      </c>
      <c r="D51" s="245" t="s">
        <v>0</v>
      </c>
      <c r="E51" s="107"/>
      <c r="F51" s="107"/>
    </row>
    <row r="52" spans="1:6" s="241" customFormat="1" ht="20.100000000000001" customHeight="1">
      <c r="A52" s="245" t="s">
        <v>1086</v>
      </c>
      <c r="B52" s="107">
        <f>SUM(B53:B73)</f>
        <v>4663354</v>
      </c>
      <c r="C52" s="113">
        <v>660201</v>
      </c>
      <c r="D52" s="245" t="s">
        <v>0</v>
      </c>
      <c r="E52" s="107"/>
      <c r="F52" s="107"/>
    </row>
    <row r="53" spans="1:6" s="241" customFormat="1" ht="20.100000000000001" customHeight="1">
      <c r="A53" s="245" t="s">
        <v>1087</v>
      </c>
      <c r="B53" s="107">
        <v>17040</v>
      </c>
      <c r="C53" s="107">
        <v>4031</v>
      </c>
      <c r="D53" s="245" t="s">
        <v>0</v>
      </c>
      <c r="E53" s="107"/>
      <c r="F53" s="107"/>
    </row>
    <row r="54" spans="1:6" s="241" customFormat="1" ht="20.100000000000001" customHeight="1">
      <c r="A54" s="245" t="s">
        <v>1088</v>
      </c>
      <c r="B54" s="107">
        <v>0</v>
      </c>
      <c r="C54" s="107"/>
      <c r="D54" s="245"/>
      <c r="E54" s="107"/>
      <c r="F54" s="107"/>
    </row>
    <row r="55" spans="1:6" s="241" customFormat="1" ht="20.100000000000001" customHeight="1">
      <c r="A55" s="245" t="s">
        <v>1089</v>
      </c>
      <c r="B55" s="107">
        <v>1092</v>
      </c>
      <c r="C55" s="107">
        <v>1018</v>
      </c>
      <c r="D55" s="245"/>
      <c r="E55" s="107"/>
      <c r="F55" s="107"/>
    </row>
    <row r="56" spans="1:6" s="241" customFormat="1" ht="20.100000000000001" customHeight="1">
      <c r="A56" s="245" t="s">
        <v>1090</v>
      </c>
      <c r="B56" s="107">
        <v>107379</v>
      </c>
      <c r="C56" s="107"/>
      <c r="D56" s="245"/>
      <c r="E56" s="107"/>
      <c r="F56" s="107"/>
    </row>
    <row r="57" spans="1:6" s="241" customFormat="1" ht="20.100000000000001" customHeight="1">
      <c r="A57" s="245" t="s">
        <v>1091</v>
      </c>
      <c r="B57" s="110">
        <v>276322</v>
      </c>
      <c r="C57" s="107"/>
      <c r="D57" s="245"/>
      <c r="E57" s="107"/>
      <c r="F57" s="107"/>
    </row>
    <row r="58" spans="1:6" s="241" customFormat="1" ht="20.100000000000001" customHeight="1">
      <c r="A58" s="245" t="s">
        <v>1092</v>
      </c>
      <c r="B58" s="107">
        <v>0</v>
      </c>
      <c r="C58" s="107"/>
      <c r="D58" s="245"/>
      <c r="E58" s="107"/>
      <c r="F58" s="107"/>
    </row>
    <row r="59" spans="1:6" s="241" customFormat="1" ht="20.100000000000001" customHeight="1">
      <c r="A59" s="245" t="s">
        <v>1093</v>
      </c>
      <c r="B59" s="107">
        <v>72709</v>
      </c>
      <c r="C59" s="107"/>
      <c r="D59" s="245"/>
      <c r="E59" s="107"/>
      <c r="F59" s="107"/>
    </row>
    <row r="60" spans="1:6" s="241" customFormat="1" ht="19.5" customHeight="1">
      <c r="A60" s="245" t="s">
        <v>1094</v>
      </c>
      <c r="B60" s="107">
        <v>32173</v>
      </c>
      <c r="C60" s="107"/>
      <c r="D60" s="245"/>
      <c r="E60" s="111"/>
      <c r="F60" s="111"/>
    </row>
    <row r="61" spans="1:6" s="67" customFormat="1" ht="20.100000000000001" customHeight="1">
      <c r="A61" s="245" t="s">
        <v>1095</v>
      </c>
      <c r="B61" s="111">
        <v>433433</v>
      </c>
      <c r="C61" s="111">
        <v>40483</v>
      </c>
      <c r="D61" s="245"/>
      <c r="E61" s="111"/>
      <c r="F61" s="111"/>
    </row>
    <row r="62" spans="1:6" s="241" customFormat="1" ht="20.100000000000001" customHeight="1">
      <c r="A62" s="245" t="s">
        <v>1096</v>
      </c>
      <c r="B62" s="107">
        <v>174502</v>
      </c>
      <c r="C62" s="107">
        <v>50956</v>
      </c>
      <c r="D62" s="245"/>
      <c r="E62" s="107"/>
      <c r="F62" s="107"/>
    </row>
    <row r="63" spans="1:6" s="241" customFormat="1" ht="20.100000000000001" customHeight="1">
      <c r="A63" s="245" t="s">
        <v>1097</v>
      </c>
      <c r="B63" s="107">
        <v>280860</v>
      </c>
      <c r="C63" s="107"/>
      <c r="D63" s="245"/>
      <c r="E63" s="107"/>
      <c r="F63" s="107"/>
    </row>
    <row r="64" spans="1:6" s="241" customFormat="1" ht="20.100000000000001" customHeight="1">
      <c r="A64" s="245" t="s">
        <v>1098</v>
      </c>
      <c r="B64" s="107">
        <v>1772030</v>
      </c>
      <c r="C64" s="107">
        <v>465320</v>
      </c>
      <c r="D64" s="245"/>
      <c r="E64" s="107"/>
      <c r="F64" s="107"/>
    </row>
    <row r="65" spans="1:7" s="241" customFormat="1" ht="20.100000000000001" customHeight="1">
      <c r="A65" s="245" t="s">
        <v>1099</v>
      </c>
      <c r="B65" s="107">
        <v>559202</v>
      </c>
      <c r="C65" s="107"/>
      <c r="D65" s="245"/>
      <c r="E65" s="107"/>
      <c r="F65" s="107"/>
    </row>
    <row r="66" spans="1:7" s="241" customFormat="1" ht="20.100000000000001" customHeight="1">
      <c r="A66" s="245" t="s">
        <v>1100</v>
      </c>
      <c r="B66" s="107">
        <v>145818</v>
      </c>
      <c r="C66" s="112">
        <v>11537</v>
      </c>
      <c r="D66" s="245"/>
      <c r="E66" s="107"/>
      <c r="F66" s="107"/>
    </row>
    <row r="67" spans="1:7" s="241" customFormat="1" ht="20.100000000000001" customHeight="1">
      <c r="A67" s="245" t="s">
        <v>1101</v>
      </c>
      <c r="B67" s="107">
        <v>57737</v>
      </c>
      <c r="C67" s="107">
        <v>45786</v>
      </c>
      <c r="D67" s="245"/>
      <c r="E67" s="107"/>
      <c r="F67" s="107"/>
    </row>
    <row r="68" spans="1:7" s="241" customFormat="1" ht="20.100000000000001" customHeight="1">
      <c r="A68" s="245" t="s">
        <v>1102</v>
      </c>
      <c r="B68" s="107">
        <v>3382</v>
      </c>
      <c r="C68" s="107"/>
      <c r="D68" s="245"/>
      <c r="E68" s="107"/>
      <c r="F68" s="107"/>
    </row>
    <row r="69" spans="1:7" s="241" customFormat="1" ht="20.100000000000001" customHeight="1">
      <c r="A69" s="245" t="s">
        <v>1103</v>
      </c>
      <c r="B69" s="107">
        <v>84357</v>
      </c>
      <c r="C69" s="107">
        <v>27580</v>
      </c>
      <c r="D69" s="245"/>
      <c r="E69" s="107"/>
      <c r="F69" s="107"/>
    </row>
    <row r="70" spans="1:7" s="241" customFormat="1" ht="20.100000000000001" customHeight="1">
      <c r="A70" s="245" t="s">
        <v>1104</v>
      </c>
      <c r="B70" s="107">
        <v>496215</v>
      </c>
      <c r="C70" s="107"/>
      <c r="D70" s="245"/>
      <c r="E70" s="107"/>
      <c r="F70" s="107"/>
    </row>
    <row r="71" spans="1:7" s="241" customFormat="1" ht="20.100000000000001" customHeight="1">
      <c r="A71" s="245" t="s">
        <v>1105</v>
      </c>
      <c r="B71" s="107">
        <v>22723</v>
      </c>
      <c r="C71" s="107"/>
      <c r="D71" s="245"/>
      <c r="E71" s="107"/>
      <c r="F71" s="107"/>
    </row>
    <row r="72" spans="1:7" s="241" customFormat="1" ht="20.100000000000001" customHeight="1">
      <c r="A72" s="245" t="s">
        <v>1106</v>
      </c>
      <c r="B72" s="107">
        <v>49250</v>
      </c>
      <c r="C72" s="107">
        <v>13490</v>
      </c>
      <c r="D72" s="247"/>
      <c r="E72" s="107"/>
      <c r="F72" s="107"/>
    </row>
    <row r="73" spans="1:7" s="241" customFormat="1" ht="20.100000000000001" customHeight="1">
      <c r="A73" s="248" t="s">
        <v>1107</v>
      </c>
      <c r="B73" s="107">
        <v>77130</v>
      </c>
      <c r="C73" s="107"/>
      <c r="D73" s="247"/>
      <c r="E73" s="107"/>
      <c r="F73" s="107"/>
    </row>
    <row r="74" spans="1:7" s="241" customFormat="1" ht="20.100000000000001" customHeight="1">
      <c r="A74" s="248"/>
      <c r="B74" s="107"/>
      <c r="C74" s="114"/>
      <c r="D74" s="247"/>
      <c r="E74" s="115"/>
      <c r="F74" s="107"/>
    </row>
    <row r="75" spans="1:7" s="241" customFormat="1" ht="20.100000000000001" customHeight="1">
      <c r="A75" s="248"/>
      <c r="B75" s="106"/>
      <c r="C75" s="107"/>
      <c r="D75" s="247"/>
      <c r="E75" s="106"/>
      <c r="F75" s="107"/>
    </row>
    <row r="76" spans="1:7" s="241" customFormat="1" ht="20.100000000000001" customHeight="1">
      <c r="A76" s="73" t="s">
        <v>1108</v>
      </c>
      <c r="B76" s="107">
        <v>1644303</v>
      </c>
      <c r="C76" s="107">
        <v>2054483</v>
      </c>
      <c r="D76" s="245" t="s">
        <v>0</v>
      </c>
      <c r="E76" s="107"/>
      <c r="F76" s="107"/>
    </row>
    <row r="77" spans="1:7" s="241" customFormat="1" ht="20.100000000000001" customHeight="1">
      <c r="A77" s="73" t="s">
        <v>1109</v>
      </c>
      <c r="B77" s="107">
        <f>SUM(B78:B80)</f>
        <v>2527772</v>
      </c>
      <c r="C77" s="107">
        <v>2061610</v>
      </c>
      <c r="D77" s="249" t="s">
        <v>1110</v>
      </c>
      <c r="E77" s="107"/>
      <c r="F77" s="259">
        <v>8403</v>
      </c>
    </row>
    <row r="78" spans="1:7" s="241" customFormat="1" ht="20.100000000000001" customHeight="1">
      <c r="A78" s="73" t="s">
        <v>1111</v>
      </c>
      <c r="B78" s="107">
        <v>1881844</v>
      </c>
      <c r="C78" s="258">
        <v>1818979</v>
      </c>
      <c r="D78" s="243" t="s">
        <v>1112</v>
      </c>
      <c r="E78" s="107">
        <v>2054483</v>
      </c>
      <c r="F78" s="259"/>
      <c r="G78" s="250"/>
    </row>
    <row r="79" spans="1:7" s="241" customFormat="1" ht="20.100000000000001" customHeight="1">
      <c r="A79" s="73" t="s">
        <v>1113</v>
      </c>
      <c r="B79" s="107">
        <v>83789</v>
      </c>
      <c r="C79" s="107">
        <v>46569</v>
      </c>
      <c r="D79" s="73" t="s">
        <v>1114</v>
      </c>
      <c r="E79" s="107">
        <v>3595875</v>
      </c>
      <c r="F79" s="259">
        <v>2729830</v>
      </c>
    </row>
    <row r="80" spans="1:7" s="241" customFormat="1" ht="20.100000000000001" customHeight="1">
      <c r="A80" s="73" t="s">
        <v>1115</v>
      </c>
      <c r="B80" s="107">
        <v>562139</v>
      </c>
      <c r="C80" s="107">
        <v>196062</v>
      </c>
      <c r="D80" s="73" t="s">
        <v>1116</v>
      </c>
      <c r="E80" s="107"/>
      <c r="F80" s="107"/>
    </row>
    <row r="81" spans="1:6" s="241" customFormat="1" ht="20.100000000000001" customHeight="1">
      <c r="A81" s="73" t="s">
        <v>1117</v>
      </c>
      <c r="B81" s="108">
        <v>7493311</v>
      </c>
      <c r="C81" s="107">
        <v>530000</v>
      </c>
      <c r="D81" s="73" t="s">
        <v>1118</v>
      </c>
      <c r="E81" s="107">
        <v>2000</v>
      </c>
      <c r="F81" s="107"/>
    </row>
    <row r="82" spans="1:6" s="241" customFormat="1" ht="20.100000000000001" customHeight="1">
      <c r="A82" s="73" t="s">
        <v>1119</v>
      </c>
      <c r="B82" s="107"/>
      <c r="C82" s="107"/>
      <c r="D82" s="251" t="s">
        <v>1120</v>
      </c>
      <c r="E82" s="107">
        <v>1946183</v>
      </c>
      <c r="F82" s="107"/>
    </row>
    <row r="83" spans="1:6" s="241" customFormat="1" ht="20.100000000000001" customHeight="1">
      <c r="A83" s="73" t="s">
        <v>1121</v>
      </c>
      <c r="B83" s="107"/>
      <c r="C83" s="107"/>
      <c r="D83" s="251" t="s">
        <v>1122</v>
      </c>
      <c r="E83" s="107"/>
      <c r="F83" s="107"/>
    </row>
    <row r="84" spans="1:6" s="241" customFormat="1" ht="19.149999999999999" customHeight="1">
      <c r="A84" s="73" t="s">
        <v>1123</v>
      </c>
      <c r="B84" s="107">
        <v>1312944</v>
      </c>
      <c r="C84" s="107">
        <v>725473</v>
      </c>
      <c r="D84" s="73"/>
      <c r="E84" s="107"/>
      <c r="F84" s="107"/>
    </row>
    <row r="85" spans="1:6" s="241" customFormat="1" ht="22.15" customHeight="1">
      <c r="A85" s="73"/>
      <c r="B85" s="107"/>
      <c r="C85" s="107"/>
      <c r="D85" s="73"/>
      <c r="E85" s="107"/>
      <c r="F85" s="107"/>
    </row>
    <row r="86" spans="1:6" s="241" customFormat="1">
      <c r="A86" s="73"/>
      <c r="B86" s="107"/>
      <c r="C86" s="107"/>
      <c r="D86" s="73"/>
      <c r="E86" s="107"/>
      <c r="F86" s="107"/>
    </row>
    <row r="87" spans="1:6" s="241" customFormat="1">
      <c r="A87" s="73"/>
      <c r="B87" s="107"/>
      <c r="C87" s="107"/>
      <c r="D87" s="73" t="s">
        <v>0</v>
      </c>
      <c r="E87" s="107"/>
      <c r="F87" s="107"/>
    </row>
    <row r="88" spans="1:6" s="241" customFormat="1">
      <c r="A88" s="73"/>
      <c r="B88" s="107"/>
      <c r="C88" s="107"/>
      <c r="D88" s="73"/>
      <c r="E88" s="107"/>
      <c r="F88" s="107"/>
    </row>
    <row r="89" spans="1:6" s="241" customFormat="1" ht="15.75" customHeight="1">
      <c r="A89" s="73"/>
      <c r="B89" s="107"/>
      <c r="C89" s="107"/>
      <c r="D89" s="73"/>
      <c r="E89" s="107"/>
      <c r="F89" s="107"/>
    </row>
    <row r="90" spans="1:6" s="241" customFormat="1" ht="18.75" customHeight="1">
      <c r="A90" s="252" t="s">
        <v>1124</v>
      </c>
      <c r="B90" s="106">
        <f>SUM(B6:B7)</f>
        <v>63963675</v>
      </c>
      <c r="C90" s="106">
        <f>SUM(C6:C7)</f>
        <v>48365258</v>
      </c>
      <c r="D90" s="252" t="s">
        <v>1125</v>
      </c>
      <c r="E90" s="106">
        <f>SUM(E6:E7)</f>
        <v>63963675</v>
      </c>
      <c r="F90" s="106">
        <f>SUM(F6:F7)</f>
        <v>48365258</v>
      </c>
    </row>
    <row r="91" spans="1:6" s="241" customFormat="1">
      <c r="D91" s="253"/>
    </row>
    <row r="92" spans="1:6" s="241" customFormat="1">
      <c r="D92" s="253"/>
      <c r="F92" s="250"/>
    </row>
    <row r="93" spans="1:6" s="241" customFormat="1">
      <c r="D93" s="253"/>
      <c r="E93" s="250"/>
    </row>
    <row r="94" spans="1:6" s="241" customFormat="1">
      <c r="D94" s="253"/>
    </row>
    <row r="95" spans="1:6">
      <c r="D95" s="239"/>
    </row>
    <row r="96" spans="1:6">
      <c r="D96" s="74"/>
    </row>
    <row r="97" spans="4:4">
      <c r="D97" s="74"/>
    </row>
    <row r="98" spans="4:4">
      <c r="D98" s="74"/>
    </row>
    <row r="99" spans="4:4">
      <c r="D99" s="74"/>
    </row>
    <row r="100" spans="4:4">
      <c r="D100" s="74"/>
    </row>
    <row r="101" spans="4:4">
      <c r="D101" s="74"/>
    </row>
    <row r="102" spans="4:4">
      <c r="D102" s="74"/>
    </row>
    <row r="103" spans="4:4">
      <c r="D103" s="74"/>
    </row>
    <row r="104" spans="4:4">
      <c r="D104" s="74"/>
    </row>
    <row r="105" spans="4:4">
      <c r="D105" s="74"/>
    </row>
    <row r="106" spans="4:4">
      <c r="D106" s="74"/>
    </row>
    <row r="107" spans="4:4">
      <c r="D107" s="74"/>
    </row>
    <row r="108" spans="4:4">
      <c r="D108" s="74"/>
    </row>
    <row r="109" spans="4:4">
      <c r="D109" s="74"/>
    </row>
  </sheetData>
  <protectedRanges>
    <protectedRange password="CC35" sqref="B30:B50" name="区域1_1"/>
  </protectedRanges>
  <mergeCells count="3">
    <mergeCell ref="A2:F2"/>
    <mergeCell ref="A4:C4"/>
    <mergeCell ref="D4:F4"/>
  </mergeCells>
  <phoneticPr fontId="14" type="noConversion"/>
  <printOptions horizontalCentered="1"/>
  <pageMargins left="0.47244094488188998" right="0.47244094488188998" top="0.59055118110236204" bottom="0.47244094488188998" header="0.31496062992126" footer="0.31496062992126"/>
  <pageSetup paperSize="9" scale="75" orientation="landscape" r:id="rId1"/>
</worksheet>
</file>

<file path=xl/worksheets/sheet6.xml><?xml version="1.0" encoding="utf-8"?>
<worksheet xmlns="http://schemas.openxmlformats.org/spreadsheetml/2006/main" xmlns:r="http://schemas.openxmlformats.org/officeDocument/2006/relationships">
  <dimension ref="A1:H223"/>
  <sheetViews>
    <sheetView showGridLines="0" showZeros="0" workbookViewId="0">
      <pane xSplit="2" ySplit="6" topLeftCell="C183" activePane="bottomRight" state="frozen"/>
      <selection pane="topRight" activeCell="C1" sqref="C1"/>
      <selection pane="bottomLeft" activeCell="A7" sqref="A7"/>
      <selection pane="bottomRight" activeCell="A216" sqref="A216"/>
    </sheetView>
  </sheetViews>
  <sheetFormatPr defaultColWidth="9" defaultRowHeight="13.5"/>
  <cols>
    <col min="1" max="1" width="45.25" style="25" customWidth="1"/>
    <col min="2" max="2" width="15.5" style="25" customWidth="1"/>
    <col min="3" max="3" width="15.25" style="25" customWidth="1"/>
    <col min="4" max="4" width="19.125" style="116" customWidth="1"/>
    <col min="5" max="5" width="18.125" style="25" customWidth="1"/>
    <col min="6" max="7" width="15.25" style="25" customWidth="1"/>
    <col min="8" max="8" width="15.5" style="25" customWidth="1"/>
    <col min="9" max="16384" width="9" style="25"/>
  </cols>
  <sheetData>
    <row r="1" spans="1:8" ht="14.25">
      <c r="A1" s="26" t="s">
        <v>1126</v>
      </c>
    </row>
    <row r="2" spans="1:8" s="24" customFormat="1" ht="20.25">
      <c r="A2" s="351" t="s">
        <v>1127</v>
      </c>
      <c r="B2" s="351"/>
      <c r="C2" s="351"/>
      <c r="D2" s="351"/>
      <c r="E2" s="351"/>
      <c r="F2" s="351"/>
      <c r="G2" s="351"/>
      <c r="H2" s="351"/>
    </row>
    <row r="3" spans="1:8" ht="18" customHeight="1">
      <c r="H3" s="27" t="s">
        <v>22</v>
      </c>
    </row>
    <row r="4" spans="1:8" s="2" customFormat="1" ht="31.5" customHeight="1">
      <c r="A4" s="358" t="s">
        <v>23</v>
      </c>
      <c r="B4" s="358" t="s">
        <v>1128</v>
      </c>
      <c r="C4" s="358" t="s">
        <v>1129</v>
      </c>
      <c r="D4" s="359" t="s">
        <v>1130</v>
      </c>
      <c r="E4" s="361" t="s">
        <v>1131</v>
      </c>
      <c r="F4" s="361" t="s">
        <v>1132</v>
      </c>
      <c r="G4" s="358" t="s">
        <v>1133</v>
      </c>
      <c r="H4" s="358" t="s">
        <v>1134</v>
      </c>
    </row>
    <row r="5" spans="1:8" s="2" customFormat="1" ht="27" customHeight="1">
      <c r="A5" s="358"/>
      <c r="B5" s="358"/>
      <c r="C5" s="358"/>
      <c r="D5" s="360"/>
      <c r="E5" s="361"/>
      <c r="F5" s="361"/>
      <c r="G5" s="358"/>
      <c r="H5" s="358"/>
    </row>
    <row r="6" spans="1:8" ht="20.100000000000001" customHeight="1">
      <c r="A6" s="33" t="s">
        <v>57</v>
      </c>
      <c r="B6" s="119">
        <v>4085493</v>
      </c>
      <c r="C6" s="119">
        <v>3908020</v>
      </c>
      <c r="D6" s="119">
        <f t="shared" ref="D6:F6" si="0">SUM(D7:D32)</f>
        <v>4031</v>
      </c>
      <c r="E6" s="119">
        <f t="shared" si="0"/>
        <v>52072</v>
      </c>
      <c r="F6" s="119">
        <f t="shared" si="0"/>
        <v>121370</v>
      </c>
      <c r="G6" s="312">
        <v>0</v>
      </c>
      <c r="H6" s="312">
        <v>0</v>
      </c>
    </row>
    <row r="7" spans="1:8" ht="20.100000000000001" customHeight="1">
      <c r="A7" s="59" t="s">
        <v>58</v>
      </c>
      <c r="B7" s="119">
        <v>61020</v>
      </c>
      <c r="C7" s="119">
        <v>60997</v>
      </c>
      <c r="D7" s="119"/>
      <c r="E7" s="313">
        <v>23</v>
      </c>
      <c r="F7" s="313">
        <v>0</v>
      </c>
      <c r="G7" s="313">
        <v>0</v>
      </c>
      <c r="H7" s="313">
        <v>0</v>
      </c>
    </row>
    <row r="8" spans="1:8" ht="20.100000000000001" customHeight="1">
      <c r="A8" s="59" t="s">
        <v>70</v>
      </c>
      <c r="B8" s="119">
        <v>43420</v>
      </c>
      <c r="C8" s="119">
        <v>43408</v>
      </c>
      <c r="D8" s="119"/>
      <c r="E8" s="313">
        <v>12</v>
      </c>
      <c r="F8" s="313">
        <v>0</v>
      </c>
      <c r="G8" s="313">
        <v>0</v>
      </c>
      <c r="H8" s="313">
        <v>0</v>
      </c>
    </row>
    <row r="9" spans="1:8" ht="20.100000000000001" customHeight="1">
      <c r="A9" s="59" t="s">
        <v>75</v>
      </c>
      <c r="B9" s="119">
        <v>1647114</v>
      </c>
      <c r="C9" s="119">
        <v>1546177</v>
      </c>
      <c r="D9" s="119"/>
      <c r="E9" s="313">
        <v>1876</v>
      </c>
      <c r="F9" s="313">
        <v>99061</v>
      </c>
      <c r="G9" s="313">
        <v>0</v>
      </c>
      <c r="H9" s="313">
        <v>0</v>
      </c>
    </row>
    <row r="10" spans="1:8" ht="20.100000000000001" customHeight="1">
      <c r="A10" s="59" t="s">
        <v>82</v>
      </c>
      <c r="B10" s="119">
        <v>227524</v>
      </c>
      <c r="C10" s="119">
        <v>227169</v>
      </c>
      <c r="D10" s="119"/>
      <c r="E10" s="313">
        <v>355</v>
      </c>
      <c r="F10" s="313">
        <v>0</v>
      </c>
      <c r="G10" s="313">
        <v>0</v>
      </c>
      <c r="H10" s="313">
        <v>0</v>
      </c>
    </row>
    <row r="11" spans="1:8" ht="20.100000000000001" customHeight="1">
      <c r="A11" s="60" t="s">
        <v>89</v>
      </c>
      <c r="B11" s="119">
        <v>35310</v>
      </c>
      <c r="C11" s="119">
        <v>35182</v>
      </c>
      <c r="D11" s="119"/>
      <c r="E11" s="313">
        <v>128</v>
      </c>
      <c r="F11" s="313">
        <v>0</v>
      </c>
      <c r="G11" s="313">
        <v>0</v>
      </c>
      <c r="H11" s="313">
        <v>0</v>
      </c>
    </row>
    <row r="12" spans="1:8" ht="20.100000000000001" customHeight="1">
      <c r="A12" s="61" t="s">
        <v>96</v>
      </c>
      <c r="B12" s="119">
        <v>219362</v>
      </c>
      <c r="C12" s="119">
        <v>218638</v>
      </c>
      <c r="D12" s="119"/>
      <c r="E12" s="313">
        <v>224</v>
      </c>
      <c r="F12" s="313">
        <v>500</v>
      </c>
      <c r="G12" s="313">
        <v>0</v>
      </c>
      <c r="H12" s="313">
        <v>0</v>
      </c>
    </row>
    <row r="13" spans="1:8" ht="20.100000000000001" customHeight="1">
      <c r="A13" s="59" t="s">
        <v>103</v>
      </c>
      <c r="B13" s="119">
        <v>93535</v>
      </c>
      <c r="C13" s="119">
        <v>93485</v>
      </c>
      <c r="D13" s="119"/>
      <c r="E13" s="313">
        <v>0</v>
      </c>
      <c r="F13" s="313">
        <v>50</v>
      </c>
      <c r="G13" s="313">
        <v>0</v>
      </c>
      <c r="H13" s="313">
        <v>0</v>
      </c>
    </row>
    <row r="14" spans="1:8" ht="20.100000000000001" customHeight="1">
      <c r="A14" s="60" t="s">
        <v>106</v>
      </c>
      <c r="B14" s="119">
        <v>45446</v>
      </c>
      <c r="C14" s="119">
        <v>45436</v>
      </c>
      <c r="D14" s="119"/>
      <c r="E14" s="313">
        <v>10</v>
      </c>
      <c r="F14" s="313">
        <v>0</v>
      </c>
      <c r="G14" s="313">
        <v>0</v>
      </c>
      <c r="H14" s="313">
        <v>0</v>
      </c>
    </row>
    <row r="15" spans="1:8" ht="20.100000000000001" customHeight="1">
      <c r="A15" s="59" t="s">
        <v>110</v>
      </c>
      <c r="B15" s="119">
        <v>4406</v>
      </c>
      <c r="C15" s="119">
        <v>4406</v>
      </c>
      <c r="D15" s="119"/>
      <c r="E15" s="313">
        <v>0</v>
      </c>
      <c r="F15" s="313">
        <v>0</v>
      </c>
      <c r="G15" s="313">
        <v>0</v>
      </c>
      <c r="H15" s="313">
        <v>0</v>
      </c>
    </row>
    <row r="16" spans="1:8" ht="20.100000000000001" customHeight="1">
      <c r="A16" s="62" t="s">
        <v>118</v>
      </c>
      <c r="B16" s="119">
        <v>207971</v>
      </c>
      <c r="C16" s="119">
        <v>205480</v>
      </c>
      <c r="D16" s="119"/>
      <c r="E16" s="313">
        <v>991</v>
      </c>
      <c r="F16" s="313">
        <v>1500</v>
      </c>
      <c r="G16" s="313">
        <v>0</v>
      </c>
      <c r="H16" s="313">
        <v>0</v>
      </c>
    </row>
    <row r="17" spans="1:8" ht="20.100000000000001" customHeight="1">
      <c r="A17" s="33" t="s">
        <v>123</v>
      </c>
      <c r="B17" s="119">
        <v>102632</v>
      </c>
      <c r="C17" s="119">
        <v>99829</v>
      </c>
      <c r="D17" s="119"/>
      <c r="E17" s="313">
        <v>681</v>
      </c>
      <c r="F17" s="313">
        <v>2122</v>
      </c>
      <c r="G17" s="313">
        <v>0</v>
      </c>
      <c r="H17" s="313">
        <v>0</v>
      </c>
    </row>
    <row r="18" spans="1:8" ht="20.100000000000001" customHeight="1">
      <c r="A18" s="60" t="s">
        <v>130</v>
      </c>
      <c r="B18" s="119">
        <v>1164</v>
      </c>
      <c r="C18" s="119">
        <v>1164</v>
      </c>
      <c r="D18" s="119"/>
      <c r="E18" s="313">
        <v>0</v>
      </c>
      <c r="F18" s="313">
        <v>0</v>
      </c>
      <c r="G18" s="313">
        <v>0</v>
      </c>
      <c r="H18" s="313">
        <v>0</v>
      </c>
    </row>
    <row r="19" spans="1:8" ht="20.100000000000001" customHeight="1">
      <c r="A19" s="59" t="s">
        <v>138</v>
      </c>
      <c r="B19" s="119">
        <v>9278</v>
      </c>
      <c r="C19" s="119">
        <v>9278</v>
      </c>
      <c r="D19" s="119"/>
      <c r="E19" s="313">
        <v>0</v>
      </c>
      <c r="F19" s="313">
        <v>0</v>
      </c>
      <c r="G19" s="313">
        <v>0</v>
      </c>
      <c r="H19" s="313">
        <v>0</v>
      </c>
    </row>
    <row r="20" spans="1:8" ht="20.100000000000001" customHeight="1">
      <c r="A20" s="59" t="s">
        <v>141</v>
      </c>
      <c r="B20" s="119">
        <v>860</v>
      </c>
      <c r="C20" s="119">
        <v>860</v>
      </c>
      <c r="D20" s="119"/>
      <c r="E20" s="313">
        <v>0</v>
      </c>
      <c r="F20" s="313">
        <v>0</v>
      </c>
      <c r="G20" s="313">
        <v>0</v>
      </c>
      <c r="H20" s="313">
        <v>0</v>
      </c>
    </row>
    <row r="21" spans="1:8" ht="20.100000000000001" customHeight="1">
      <c r="A21" s="60" t="s">
        <v>145</v>
      </c>
      <c r="B21" s="119">
        <v>14624</v>
      </c>
      <c r="C21" s="119">
        <v>13635</v>
      </c>
      <c r="D21" s="119"/>
      <c r="E21" s="313">
        <v>989</v>
      </c>
      <c r="F21" s="313">
        <v>0</v>
      </c>
      <c r="G21" s="313">
        <v>0</v>
      </c>
      <c r="H21" s="313">
        <v>0</v>
      </c>
    </row>
    <row r="22" spans="1:8" ht="18.75" customHeight="1">
      <c r="A22" s="60" t="s">
        <v>148</v>
      </c>
      <c r="B22" s="119">
        <v>7585</v>
      </c>
      <c r="C22" s="119">
        <v>7585</v>
      </c>
      <c r="D22" s="119"/>
      <c r="E22" s="313">
        <v>0</v>
      </c>
      <c r="F22" s="313">
        <v>0</v>
      </c>
      <c r="G22" s="313">
        <v>0</v>
      </c>
      <c r="H22" s="313">
        <v>0</v>
      </c>
    </row>
    <row r="23" spans="1:8" ht="20.100000000000001" customHeight="1">
      <c r="A23" s="60" t="s">
        <v>150</v>
      </c>
      <c r="B23" s="119">
        <v>66109</v>
      </c>
      <c r="C23" s="119">
        <v>65879</v>
      </c>
      <c r="D23" s="119"/>
      <c r="E23" s="313">
        <v>230</v>
      </c>
      <c r="F23" s="313">
        <v>0</v>
      </c>
      <c r="G23" s="313">
        <v>0</v>
      </c>
      <c r="H23" s="313">
        <v>0</v>
      </c>
    </row>
    <row r="24" spans="1:8" ht="20.100000000000001" customHeight="1">
      <c r="A24" s="60" t="s">
        <v>153</v>
      </c>
      <c r="B24" s="119">
        <v>263508</v>
      </c>
      <c r="C24" s="119">
        <v>260658</v>
      </c>
      <c r="D24" s="119"/>
      <c r="E24" s="313">
        <v>2850</v>
      </c>
      <c r="F24" s="313">
        <v>0</v>
      </c>
      <c r="G24" s="313">
        <v>0</v>
      </c>
      <c r="H24" s="313">
        <v>0</v>
      </c>
    </row>
    <row r="25" spans="1:8" ht="20.100000000000001" customHeight="1">
      <c r="A25" s="60" t="s">
        <v>156</v>
      </c>
      <c r="B25" s="119">
        <v>429723</v>
      </c>
      <c r="C25" s="119">
        <v>389413</v>
      </c>
      <c r="D25" s="119"/>
      <c r="E25" s="313">
        <v>22173</v>
      </c>
      <c r="F25" s="313">
        <v>18137</v>
      </c>
      <c r="G25" s="313">
        <v>0</v>
      </c>
      <c r="H25" s="313">
        <v>0</v>
      </c>
    </row>
    <row r="26" spans="1:8" ht="20.100000000000001" customHeight="1">
      <c r="A26" s="60" t="s">
        <v>159</v>
      </c>
      <c r="B26" s="119">
        <v>48515</v>
      </c>
      <c r="C26" s="119">
        <v>48445</v>
      </c>
      <c r="D26" s="119"/>
      <c r="E26" s="313">
        <v>70</v>
      </c>
      <c r="F26" s="313">
        <v>0</v>
      </c>
      <c r="G26" s="313">
        <v>0</v>
      </c>
      <c r="H26" s="313">
        <v>0</v>
      </c>
    </row>
    <row r="27" spans="1:8" ht="20.100000000000001" customHeight="1">
      <c r="A27" s="60" t="s">
        <v>162</v>
      </c>
      <c r="B27" s="119">
        <v>82435</v>
      </c>
      <c r="C27" s="119">
        <v>79841</v>
      </c>
      <c r="D27" s="119"/>
      <c r="E27" s="313">
        <v>2594</v>
      </c>
      <c r="F27" s="313">
        <v>0</v>
      </c>
      <c r="G27" s="313">
        <v>0</v>
      </c>
      <c r="H27" s="313">
        <v>0</v>
      </c>
    </row>
    <row r="28" spans="1:8" ht="20.100000000000001" customHeight="1">
      <c r="A28" s="60" t="s">
        <v>166</v>
      </c>
      <c r="B28" s="119">
        <v>1498</v>
      </c>
      <c r="C28" s="119">
        <v>1498</v>
      </c>
      <c r="D28" s="119"/>
      <c r="E28" s="313">
        <v>0</v>
      </c>
      <c r="F28" s="313">
        <v>0</v>
      </c>
      <c r="G28" s="313">
        <v>0</v>
      </c>
      <c r="H28" s="313">
        <v>0</v>
      </c>
    </row>
    <row r="29" spans="1:8" ht="20.100000000000001" customHeight="1">
      <c r="A29" s="60" t="s">
        <v>168</v>
      </c>
      <c r="B29" s="119">
        <v>188174</v>
      </c>
      <c r="C29" s="119">
        <v>188174</v>
      </c>
      <c r="D29" s="119"/>
      <c r="E29" s="313">
        <v>0</v>
      </c>
      <c r="F29" s="313">
        <v>0</v>
      </c>
      <c r="G29" s="313">
        <v>0</v>
      </c>
      <c r="H29" s="313">
        <v>0</v>
      </c>
    </row>
    <row r="30" spans="1:8" ht="20.100000000000001" customHeight="1">
      <c r="A30" s="59" t="s">
        <v>170</v>
      </c>
      <c r="B30" s="119">
        <v>38993</v>
      </c>
      <c r="C30" s="119">
        <v>38130</v>
      </c>
      <c r="D30" s="119"/>
      <c r="E30" s="313">
        <v>863</v>
      </c>
      <c r="F30" s="313">
        <v>0</v>
      </c>
      <c r="G30" s="313">
        <v>0</v>
      </c>
      <c r="H30" s="313">
        <v>0</v>
      </c>
    </row>
    <row r="31" spans="1:8" ht="20.100000000000001" customHeight="1">
      <c r="A31" s="59" t="s">
        <v>173</v>
      </c>
      <c r="B31" s="119">
        <v>202029</v>
      </c>
      <c r="C31" s="119">
        <v>196100</v>
      </c>
      <c r="D31" s="119"/>
      <c r="E31" s="313">
        <v>5929</v>
      </c>
      <c r="F31" s="313">
        <v>0</v>
      </c>
      <c r="G31" s="313">
        <v>0</v>
      </c>
      <c r="H31" s="313">
        <v>0</v>
      </c>
    </row>
    <row r="32" spans="1:8" ht="20.100000000000001" customHeight="1">
      <c r="A32" s="59" t="s">
        <v>183</v>
      </c>
      <c r="B32" s="119">
        <v>43258</v>
      </c>
      <c r="C32" s="119">
        <v>27153</v>
      </c>
      <c r="D32" s="119">
        <v>4031</v>
      </c>
      <c r="E32" s="313">
        <v>12074</v>
      </c>
      <c r="F32" s="313">
        <v>0</v>
      </c>
      <c r="G32" s="313">
        <v>0</v>
      </c>
      <c r="H32" s="313">
        <v>0</v>
      </c>
    </row>
    <row r="33" spans="1:8" ht="20.100000000000001" customHeight="1">
      <c r="A33" s="33" t="s">
        <v>186</v>
      </c>
      <c r="B33" s="119">
        <v>420</v>
      </c>
      <c r="C33" s="119">
        <v>420</v>
      </c>
      <c r="D33" s="119">
        <f t="shared" ref="D33:H33" si="1">SUM(D34:D35)</f>
        <v>0</v>
      </c>
      <c r="E33" s="119">
        <f t="shared" si="1"/>
        <v>0</v>
      </c>
      <c r="F33" s="119">
        <f t="shared" si="1"/>
        <v>0</v>
      </c>
      <c r="G33" s="119">
        <f t="shared" si="1"/>
        <v>0</v>
      </c>
      <c r="H33" s="119">
        <f t="shared" si="1"/>
        <v>0</v>
      </c>
    </row>
    <row r="34" spans="1:8" ht="20.100000000000001" customHeight="1">
      <c r="A34" s="59" t="s">
        <v>187</v>
      </c>
      <c r="B34" s="119">
        <v>270</v>
      </c>
      <c r="C34" s="119">
        <v>270</v>
      </c>
      <c r="D34" s="119"/>
      <c r="E34" s="313">
        <v>0</v>
      </c>
      <c r="F34" s="313">
        <v>0</v>
      </c>
      <c r="G34" s="313">
        <v>0</v>
      </c>
      <c r="H34" s="313">
        <v>0</v>
      </c>
    </row>
    <row r="35" spans="1:8" ht="20.100000000000001" customHeight="1">
      <c r="A35" s="59" t="s">
        <v>189</v>
      </c>
      <c r="B35" s="119">
        <v>150</v>
      </c>
      <c r="C35" s="119">
        <v>150</v>
      </c>
      <c r="D35" s="119"/>
      <c r="E35" s="313">
        <v>0</v>
      </c>
      <c r="F35" s="313">
        <v>0</v>
      </c>
      <c r="G35" s="313">
        <v>0</v>
      </c>
      <c r="H35" s="313">
        <v>0</v>
      </c>
    </row>
    <row r="36" spans="1:8" ht="20.100000000000001" customHeight="1">
      <c r="A36" s="33" t="s">
        <v>190</v>
      </c>
      <c r="B36" s="119">
        <v>31006</v>
      </c>
      <c r="C36" s="119">
        <v>29314</v>
      </c>
      <c r="D36" s="119">
        <f t="shared" ref="D36:G36" si="2">SUM(D37:D38)</f>
        <v>1018</v>
      </c>
      <c r="E36" s="119">
        <f t="shared" si="2"/>
        <v>674</v>
      </c>
      <c r="F36" s="119">
        <f t="shared" si="2"/>
        <v>0</v>
      </c>
      <c r="G36" s="119">
        <f t="shared" si="2"/>
        <v>0</v>
      </c>
      <c r="H36" s="312">
        <v>0</v>
      </c>
    </row>
    <row r="37" spans="1:8" ht="20.100000000000001" customHeight="1">
      <c r="A37" s="60" t="s">
        <v>191</v>
      </c>
      <c r="B37" s="119">
        <v>30247</v>
      </c>
      <c r="C37" s="119">
        <v>28581</v>
      </c>
      <c r="D37" s="119">
        <v>1018</v>
      </c>
      <c r="E37" s="313">
        <v>648</v>
      </c>
      <c r="F37" s="313">
        <v>0</v>
      </c>
      <c r="G37" s="313">
        <v>0</v>
      </c>
      <c r="H37" s="313">
        <v>0</v>
      </c>
    </row>
    <row r="38" spans="1:8" ht="20.100000000000001" customHeight="1">
      <c r="A38" s="60" t="s">
        <v>201</v>
      </c>
      <c r="B38" s="119">
        <v>759</v>
      </c>
      <c r="C38" s="119">
        <v>733</v>
      </c>
      <c r="D38" s="119"/>
      <c r="E38" s="313">
        <v>26</v>
      </c>
      <c r="F38" s="313">
        <v>0</v>
      </c>
      <c r="G38" s="313">
        <v>0</v>
      </c>
      <c r="H38" s="313">
        <v>0</v>
      </c>
    </row>
    <row r="39" spans="1:8" ht="20.100000000000001" customHeight="1">
      <c r="A39" s="33" t="s">
        <v>202</v>
      </c>
      <c r="B39" s="119">
        <v>3792548</v>
      </c>
      <c r="C39" s="119">
        <f>SUM(C40:C50)</f>
        <v>2998312</v>
      </c>
      <c r="D39" s="119">
        <f t="shared" ref="D39:G39" si="3">SUM(D40:D50)</f>
        <v>0</v>
      </c>
      <c r="E39" s="119">
        <f t="shared" si="3"/>
        <v>136303</v>
      </c>
      <c r="F39" s="119">
        <f t="shared" si="3"/>
        <v>657933</v>
      </c>
      <c r="G39" s="119">
        <f t="shared" si="3"/>
        <v>0</v>
      </c>
      <c r="H39" s="312">
        <v>0</v>
      </c>
    </row>
    <row r="40" spans="1:8" ht="20.100000000000001" customHeight="1">
      <c r="A40" s="59" t="s">
        <v>203</v>
      </c>
      <c r="B40" s="119">
        <v>17950</v>
      </c>
      <c r="C40" s="119">
        <v>17729</v>
      </c>
      <c r="D40" s="119"/>
      <c r="E40" s="313">
        <v>1</v>
      </c>
      <c r="F40" s="313">
        <v>220</v>
      </c>
      <c r="G40" s="313">
        <v>0</v>
      </c>
      <c r="H40" s="313">
        <v>0</v>
      </c>
    </row>
    <row r="41" spans="1:8" ht="20.100000000000001" customHeight="1">
      <c r="A41" s="60" t="s">
        <v>206</v>
      </c>
      <c r="B41" s="119">
        <v>2569339</v>
      </c>
      <c r="C41" s="119">
        <v>2195547</v>
      </c>
      <c r="D41" s="119"/>
      <c r="E41" s="313">
        <v>123806</v>
      </c>
      <c r="F41" s="313">
        <v>249986</v>
      </c>
      <c r="G41" s="313">
        <v>0</v>
      </c>
      <c r="H41" s="313">
        <v>0</v>
      </c>
    </row>
    <row r="42" spans="1:8" ht="20.100000000000001" customHeight="1">
      <c r="A42" s="59" t="s">
        <v>212</v>
      </c>
      <c r="B42" s="119">
        <v>55718</v>
      </c>
      <c r="C42" s="119">
        <v>55718</v>
      </c>
      <c r="D42" s="119"/>
      <c r="E42" s="313">
        <v>0</v>
      </c>
      <c r="F42" s="313">
        <v>0</v>
      </c>
      <c r="G42" s="313">
        <v>0</v>
      </c>
      <c r="H42" s="313">
        <v>0</v>
      </c>
    </row>
    <row r="43" spans="1:8" ht="20.100000000000001" customHeight="1">
      <c r="A43" s="61" t="s">
        <v>215</v>
      </c>
      <c r="B43" s="119">
        <v>101282</v>
      </c>
      <c r="C43" s="119">
        <v>100800</v>
      </c>
      <c r="D43" s="119"/>
      <c r="E43" s="313">
        <v>482</v>
      </c>
      <c r="F43" s="313">
        <v>0</v>
      </c>
      <c r="G43" s="313">
        <v>0</v>
      </c>
      <c r="H43" s="313">
        <v>0</v>
      </c>
    </row>
    <row r="44" spans="1:8" ht="20.100000000000001" customHeight="1">
      <c r="A44" s="33" t="s">
        <v>219</v>
      </c>
      <c r="B44" s="119">
        <v>196443</v>
      </c>
      <c r="C44" s="119">
        <v>140603</v>
      </c>
      <c r="D44" s="119"/>
      <c r="E44" s="313">
        <v>2790</v>
      </c>
      <c r="F44" s="313">
        <v>53050</v>
      </c>
      <c r="G44" s="313">
        <v>0</v>
      </c>
      <c r="H44" s="313">
        <v>0</v>
      </c>
    </row>
    <row r="45" spans="1:8" ht="20.100000000000001" customHeight="1">
      <c r="A45" s="59" t="s">
        <v>224</v>
      </c>
      <c r="B45" s="119">
        <v>74520</v>
      </c>
      <c r="C45" s="119">
        <v>72964</v>
      </c>
      <c r="D45" s="119"/>
      <c r="E45" s="313">
        <v>1556</v>
      </c>
      <c r="F45" s="313">
        <v>0</v>
      </c>
      <c r="G45" s="313">
        <v>0</v>
      </c>
      <c r="H45" s="313">
        <v>0</v>
      </c>
    </row>
    <row r="46" spans="1:8" ht="20.100000000000001" customHeight="1">
      <c r="A46" s="61" t="s">
        <v>233</v>
      </c>
      <c r="B46" s="119">
        <v>390322</v>
      </c>
      <c r="C46" s="119">
        <v>185022</v>
      </c>
      <c r="D46" s="119"/>
      <c r="E46" s="313">
        <v>0</v>
      </c>
      <c r="F46" s="313">
        <v>205300</v>
      </c>
      <c r="G46" s="313">
        <v>0</v>
      </c>
      <c r="H46" s="313">
        <v>0</v>
      </c>
    </row>
    <row r="47" spans="1:8" ht="20.100000000000001" customHeight="1">
      <c r="A47" s="60" t="s">
        <v>238</v>
      </c>
      <c r="B47" s="119">
        <v>50837</v>
      </c>
      <c r="C47" s="119">
        <v>50526</v>
      </c>
      <c r="D47" s="119"/>
      <c r="E47" s="313">
        <v>311</v>
      </c>
      <c r="F47" s="313">
        <v>0</v>
      </c>
      <c r="G47" s="313">
        <v>0</v>
      </c>
      <c r="H47" s="313">
        <v>0</v>
      </c>
    </row>
    <row r="48" spans="1:8" ht="20.100000000000001" customHeight="1">
      <c r="A48" s="33" t="s">
        <v>243</v>
      </c>
      <c r="B48" s="119">
        <v>1010</v>
      </c>
      <c r="C48" s="119">
        <v>1010</v>
      </c>
      <c r="D48" s="119"/>
      <c r="E48" s="313">
        <v>0</v>
      </c>
      <c r="F48" s="313">
        <v>0</v>
      </c>
      <c r="G48" s="313">
        <v>0</v>
      </c>
      <c r="H48" s="313">
        <v>0</v>
      </c>
    </row>
    <row r="49" spans="1:8" ht="20.100000000000001" customHeight="1">
      <c r="A49" s="59" t="s">
        <v>247</v>
      </c>
      <c r="B49" s="119">
        <v>0</v>
      </c>
      <c r="C49" s="119">
        <v>0</v>
      </c>
      <c r="D49" s="119"/>
      <c r="E49" s="313">
        <v>0</v>
      </c>
      <c r="F49" s="313">
        <v>0</v>
      </c>
      <c r="G49" s="313">
        <v>0</v>
      </c>
      <c r="H49" s="313">
        <v>0</v>
      </c>
    </row>
    <row r="50" spans="1:8" ht="20.100000000000001" customHeight="1">
      <c r="A50" s="59" t="s">
        <v>250</v>
      </c>
      <c r="B50" s="119">
        <v>335127</v>
      </c>
      <c r="C50" s="119">
        <v>178393</v>
      </c>
      <c r="D50" s="119"/>
      <c r="E50" s="313">
        <v>7357</v>
      </c>
      <c r="F50" s="313">
        <v>149377</v>
      </c>
      <c r="G50" s="313">
        <v>0</v>
      </c>
      <c r="H50" s="313">
        <v>0</v>
      </c>
    </row>
    <row r="51" spans="1:8" ht="19.5" customHeight="1">
      <c r="A51" s="33" t="s">
        <v>253</v>
      </c>
      <c r="B51" s="119">
        <v>7755790</v>
      </c>
      <c r="C51" s="119">
        <v>6565149</v>
      </c>
      <c r="D51" s="119">
        <f t="shared" ref="D51:G51" si="4">SUM(D52:D61)</f>
        <v>0</v>
      </c>
      <c r="E51" s="119">
        <f t="shared" si="4"/>
        <v>500378</v>
      </c>
      <c r="F51" s="119">
        <f t="shared" si="4"/>
        <v>516963</v>
      </c>
      <c r="G51" s="119">
        <f t="shared" si="4"/>
        <v>173300</v>
      </c>
      <c r="H51" s="312">
        <v>0</v>
      </c>
    </row>
    <row r="52" spans="1:8" ht="20.100000000000001" customHeight="1">
      <c r="A52" s="60" t="s">
        <v>254</v>
      </c>
      <c r="B52" s="119">
        <v>212466</v>
      </c>
      <c r="C52" s="119">
        <v>211695</v>
      </c>
      <c r="D52" s="119"/>
      <c r="E52" s="313">
        <v>771</v>
      </c>
      <c r="F52" s="313">
        <v>0</v>
      </c>
      <c r="G52" s="313">
        <v>0</v>
      </c>
      <c r="H52" s="313">
        <v>0</v>
      </c>
    </row>
    <row r="53" spans="1:8" ht="20.100000000000001" customHeight="1">
      <c r="A53" s="59" t="s">
        <v>256</v>
      </c>
      <c r="B53" s="119">
        <v>6619446</v>
      </c>
      <c r="C53" s="119">
        <v>5802339</v>
      </c>
      <c r="D53" s="119"/>
      <c r="E53" s="313">
        <v>256789</v>
      </c>
      <c r="F53" s="313">
        <v>440818</v>
      </c>
      <c r="G53" s="313">
        <v>119500</v>
      </c>
      <c r="H53" s="313">
        <v>0</v>
      </c>
    </row>
    <row r="54" spans="1:8" ht="20.100000000000001" customHeight="1">
      <c r="A54" s="59" t="s">
        <v>263</v>
      </c>
      <c r="B54" s="119">
        <v>504932</v>
      </c>
      <c r="C54" s="119">
        <v>304113</v>
      </c>
      <c r="D54" s="119"/>
      <c r="E54" s="313">
        <v>117881</v>
      </c>
      <c r="F54" s="313">
        <v>29138</v>
      </c>
      <c r="G54" s="313">
        <v>53800</v>
      </c>
      <c r="H54" s="313">
        <v>0</v>
      </c>
    </row>
    <row r="55" spans="1:8" ht="20.100000000000001" customHeight="1">
      <c r="A55" s="33" t="s">
        <v>269</v>
      </c>
      <c r="B55" s="119">
        <v>11128</v>
      </c>
      <c r="C55" s="119">
        <v>11128</v>
      </c>
      <c r="D55" s="119"/>
      <c r="E55" s="313">
        <v>0</v>
      </c>
      <c r="F55" s="313">
        <v>0</v>
      </c>
      <c r="G55" s="313">
        <v>0</v>
      </c>
      <c r="H55" s="313">
        <v>0</v>
      </c>
    </row>
    <row r="56" spans="1:8" ht="20.100000000000001" customHeight="1">
      <c r="A56" s="60" t="s">
        <v>275</v>
      </c>
      <c r="B56" s="119">
        <v>10560</v>
      </c>
      <c r="C56" s="119">
        <v>10560</v>
      </c>
      <c r="D56" s="119"/>
      <c r="E56" s="313">
        <v>0</v>
      </c>
      <c r="F56" s="313">
        <v>0</v>
      </c>
      <c r="G56" s="313">
        <v>0</v>
      </c>
      <c r="H56" s="313">
        <v>0</v>
      </c>
    </row>
    <row r="57" spans="1:8" ht="20.100000000000001" customHeight="1">
      <c r="A57" s="60" t="s">
        <v>279</v>
      </c>
      <c r="B57" s="119">
        <v>0</v>
      </c>
      <c r="C57" s="119">
        <v>0</v>
      </c>
      <c r="D57" s="119"/>
      <c r="E57" s="313">
        <v>0</v>
      </c>
      <c r="F57" s="313">
        <v>0</v>
      </c>
      <c r="G57" s="313">
        <v>0</v>
      </c>
      <c r="H57" s="313">
        <v>0</v>
      </c>
    </row>
    <row r="58" spans="1:8" ht="20.100000000000001" customHeight="1">
      <c r="A58" s="59" t="s">
        <v>283</v>
      </c>
      <c r="B58" s="119">
        <v>22221</v>
      </c>
      <c r="C58" s="119">
        <v>20446</v>
      </c>
      <c r="D58" s="119"/>
      <c r="E58" s="313">
        <v>1775</v>
      </c>
      <c r="F58" s="313">
        <v>0</v>
      </c>
      <c r="G58" s="313">
        <v>0</v>
      </c>
      <c r="H58" s="313">
        <v>0</v>
      </c>
    </row>
    <row r="59" spans="1:8" ht="20.100000000000001" customHeight="1">
      <c r="A59" s="60" t="s">
        <v>287</v>
      </c>
      <c r="B59" s="119">
        <v>79995</v>
      </c>
      <c r="C59" s="119">
        <v>58975</v>
      </c>
      <c r="D59" s="119"/>
      <c r="E59" s="313">
        <v>20</v>
      </c>
      <c r="F59" s="313">
        <v>21000</v>
      </c>
      <c r="G59" s="313">
        <v>0</v>
      </c>
      <c r="H59" s="313">
        <v>0</v>
      </c>
    </row>
    <row r="60" spans="1:8" ht="20.100000000000001" customHeight="1">
      <c r="A60" s="59" t="s">
        <v>293</v>
      </c>
      <c r="B60" s="119">
        <v>132393</v>
      </c>
      <c r="C60" s="119">
        <v>118010</v>
      </c>
      <c r="D60" s="119"/>
      <c r="E60" s="313">
        <v>484</v>
      </c>
      <c r="F60" s="313">
        <v>13899</v>
      </c>
      <c r="G60" s="313">
        <v>0</v>
      </c>
      <c r="H60" s="313">
        <v>0</v>
      </c>
    </row>
    <row r="61" spans="1:8" ht="20.100000000000001" customHeight="1">
      <c r="A61" s="59" t="s">
        <v>300</v>
      </c>
      <c r="B61" s="119">
        <v>162649</v>
      </c>
      <c r="C61" s="119">
        <v>27883</v>
      </c>
      <c r="D61" s="119"/>
      <c r="E61" s="313">
        <v>122658</v>
      </c>
      <c r="F61" s="313">
        <v>12108</v>
      </c>
      <c r="G61" s="313">
        <v>0</v>
      </c>
      <c r="H61" s="313">
        <v>0</v>
      </c>
    </row>
    <row r="62" spans="1:8" ht="20.100000000000001" customHeight="1">
      <c r="A62" s="33" t="s">
        <v>301</v>
      </c>
      <c r="B62" s="119">
        <v>288318</v>
      </c>
      <c r="C62" s="119">
        <v>235960</v>
      </c>
      <c r="D62" s="119">
        <f t="shared" ref="D62:H62" si="5">SUM(D63:D72)</f>
        <v>0</v>
      </c>
      <c r="E62" s="119">
        <f t="shared" si="5"/>
        <v>34543</v>
      </c>
      <c r="F62" s="119">
        <f t="shared" si="5"/>
        <v>17815</v>
      </c>
      <c r="G62" s="119">
        <f t="shared" si="5"/>
        <v>0</v>
      </c>
      <c r="H62" s="119">
        <f t="shared" si="5"/>
        <v>0</v>
      </c>
    </row>
    <row r="63" spans="1:8" ht="20.100000000000001" customHeight="1">
      <c r="A63" s="60" t="s">
        <v>302</v>
      </c>
      <c r="B63" s="119">
        <v>31140</v>
      </c>
      <c r="C63" s="119">
        <v>29066</v>
      </c>
      <c r="D63" s="119"/>
      <c r="E63" s="313">
        <v>74</v>
      </c>
      <c r="F63" s="313">
        <v>2000</v>
      </c>
      <c r="G63" s="313">
        <v>0</v>
      </c>
      <c r="H63" s="313">
        <v>0</v>
      </c>
    </row>
    <row r="64" spans="1:8" ht="20.100000000000001" customHeight="1">
      <c r="A64" s="59" t="s">
        <v>304</v>
      </c>
      <c r="B64" s="119">
        <v>13355</v>
      </c>
      <c r="C64" s="119">
        <v>937</v>
      </c>
      <c r="D64" s="119"/>
      <c r="E64" s="313">
        <v>12418</v>
      </c>
      <c r="F64" s="313">
        <v>0</v>
      </c>
      <c r="G64" s="313">
        <v>0</v>
      </c>
      <c r="H64" s="313">
        <v>0</v>
      </c>
    </row>
    <row r="65" spans="1:8" ht="20.100000000000001" customHeight="1">
      <c r="A65" s="60" t="s">
        <v>313</v>
      </c>
      <c r="B65" s="119">
        <v>45123</v>
      </c>
      <c r="C65" s="119">
        <v>45123</v>
      </c>
      <c r="D65" s="119"/>
      <c r="E65" s="313">
        <v>0</v>
      </c>
      <c r="F65" s="313">
        <v>0</v>
      </c>
      <c r="G65" s="313">
        <v>0</v>
      </c>
      <c r="H65" s="313">
        <v>0</v>
      </c>
    </row>
    <row r="66" spans="1:8" ht="20.100000000000001" customHeight="1">
      <c r="A66" s="60" t="s">
        <v>318</v>
      </c>
      <c r="B66" s="119">
        <v>63929</v>
      </c>
      <c r="C66" s="119">
        <v>62665</v>
      </c>
      <c r="D66" s="119"/>
      <c r="E66" s="313">
        <v>488</v>
      </c>
      <c r="F66" s="313">
        <v>776</v>
      </c>
      <c r="G66" s="313">
        <v>0</v>
      </c>
      <c r="H66" s="313">
        <v>0</v>
      </c>
    </row>
    <row r="67" spans="1:8" ht="20.100000000000001" customHeight="1">
      <c r="A67" s="60" t="s">
        <v>322</v>
      </c>
      <c r="B67" s="119">
        <v>32752</v>
      </c>
      <c r="C67" s="119">
        <v>31950</v>
      </c>
      <c r="D67" s="119"/>
      <c r="E67" s="313">
        <v>802</v>
      </c>
      <c r="F67" s="313">
        <v>0</v>
      </c>
      <c r="G67" s="313">
        <v>0</v>
      </c>
      <c r="H67" s="313">
        <v>0</v>
      </c>
    </row>
    <row r="68" spans="1:8" ht="20.100000000000001" customHeight="1">
      <c r="A68" s="60" t="s">
        <v>326</v>
      </c>
      <c r="B68" s="119">
        <v>6517</v>
      </c>
      <c r="C68" s="119">
        <v>6517</v>
      </c>
      <c r="D68" s="119"/>
      <c r="E68" s="313">
        <v>0</v>
      </c>
      <c r="F68" s="313">
        <v>0</v>
      </c>
      <c r="G68" s="313">
        <v>0</v>
      </c>
      <c r="H68" s="313">
        <v>0</v>
      </c>
    </row>
    <row r="69" spans="1:8" ht="20.100000000000001" customHeight="1">
      <c r="A69" s="59" t="s">
        <v>331</v>
      </c>
      <c r="B69" s="119">
        <v>18923</v>
      </c>
      <c r="C69" s="119">
        <v>18430</v>
      </c>
      <c r="D69" s="119"/>
      <c r="E69" s="313">
        <v>493</v>
      </c>
      <c r="F69" s="313">
        <v>0</v>
      </c>
      <c r="G69" s="313">
        <v>0</v>
      </c>
      <c r="H69" s="313">
        <v>0</v>
      </c>
    </row>
    <row r="70" spans="1:8" ht="20.100000000000001" customHeight="1">
      <c r="A70" s="59" t="s">
        <v>337</v>
      </c>
      <c r="B70" s="119">
        <v>3069</v>
      </c>
      <c r="C70" s="119">
        <v>3029</v>
      </c>
      <c r="D70" s="119"/>
      <c r="E70" s="313">
        <v>40</v>
      </c>
      <c r="F70" s="313">
        <v>0</v>
      </c>
      <c r="G70" s="313">
        <v>0</v>
      </c>
      <c r="H70" s="313">
        <v>0</v>
      </c>
    </row>
    <row r="71" spans="1:8" ht="20.100000000000001" customHeight="1">
      <c r="A71" s="33" t="s">
        <v>341</v>
      </c>
      <c r="B71" s="119">
        <v>12520</v>
      </c>
      <c r="C71" s="119">
        <v>12520</v>
      </c>
      <c r="D71" s="119"/>
      <c r="E71" s="313">
        <v>0</v>
      </c>
      <c r="F71" s="313">
        <v>0</v>
      </c>
      <c r="G71" s="313">
        <v>0</v>
      </c>
      <c r="H71" s="313">
        <v>0</v>
      </c>
    </row>
    <row r="72" spans="1:8" ht="20.100000000000001" customHeight="1">
      <c r="A72" s="59" t="s">
        <v>345</v>
      </c>
      <c r="B72" s="119">
        <v>60990</v>
      </c>
      <c r="C72" s="119">
        <v>25723</v>
      </c>
      <c r="D72" s="119"/>
      <c r="E72" s="313">
        <v>20228</v>
      </c>
      <c r="F72" s="313">
        <v>15039</v>
      </c>
      <c r="G72" s="313">
        <v>0</v>
      </c>
      <c r="H72" s="313">
        <v>0</v>
      </c>
    </row>
    <row r="73" spans="1:8" ht="20.100000000000001" customHeight="1">
      <c r="A73" s="33" t="s">
        <v>350</v>
      </c>
      <c r="B73" s="119">
        <v>692324</v>
      </c>
      <c r="C73" s="119">
        <v>572882</v>
      </c>
      <c r="D73" s="119">
        <f t="shared" ref="D73:H73" si="6">SUM(D74:D79)</f>
        <v>0</v>
      </c>
      <c r="E73" s="119">
        <f t="shared" si="6"/>
        <v>55771</v>
      </c>
      <c r="F73" s="119">
        <f t="shared" si="6"/>
        <v>6671</v>
      </c>
      <c r="G73" s="119">
        <f t="shared" si="6"/>
        <v>57000</v>
      </c>
      <c r="H73" s="119">
        <f t="shared" si="6"/>
        <v>0</v>
      </c>
    </row>
    <row r="74" spans="1:8" ht="20.100000000000001" customHeight="1">
      <c r="A74" s="33" t="s">
        <v>351</v>
      </c>
      <c r="B74" s="119">
        <v>298526</v>
      </c>
      <c r="C74" s="119">
        <v>229400</v>
      </c>
      <c r="D74" s="119"/>
      <c r="E74" s="313">
        <v>5656</v>
      </c>
      <c r="F74" s="313">
        <v>6470</v>
      </c>
      <c r="G74" s="313">
        <v>57000</v>
      </c>
      <c r="H74" s="313">
        <v>0</v>
      </c>
    </row>
    <row r="75" spans="1:8" ht="20.100000000000001" customHeight="1">
      <c r="A75" s="33" t="s">
        <v>364</v>
      </c>
      <c r="B75" s="119">
        <v>51057</v>
      </c>
      <c r="C75" s="119">
        <v>48506</v>
      </c>
      <c r="D75" s="119"/>
      <c r="E75" s="313">
        <v>2551</v>
      </c>
      <c r="F75" s="313">
        <v>0</v>
      </c>
      <c r="G75" s="313">
        <v>0</v>
      </c>
      <c r="H75" s="313">
        <v>0</v>
      </c>
    </row>
    <row r="76" spans="1:8" ht="20.100000000000001" customHeight="1">
      <c r="A76" s="33" t="s">
        <v>369</v>
      </c>
      <c r="B76" s="119">
        <v>42935</v>
      </c>
      <c r="C76" s="119">
        <v>42523</v>
      </c>
      <c r="D76" s="119"/>
      <c r="E76" s="313">
        <v>245</v>
      </c>
      <c r="F76" s="313">
        <v>167</v>
      </c>
      <c r="G76" s="313">
        <v>0</v>
      </c>
      <c r="H76" s="313">
        <v>0</v>
      </c>
    </row>
    <row r="77" spans="1:8" ht="20.100000000000001" customHeight="1">
      <c r="A77" s="33" t="s">
        <v>377</v>
      </c>
      <c r="B77" s="119">
        <v>51594</v>
      </c>
      <c r="C77" s="119">
        <v>50372</v>
      </c>
      <c r="D77" s="119"/>
      <c r="E77" s="313">
        <v>1222</v>
      </c>
      <c r="F77" s="313">
        <v>0</v>
      </c>
      <c r="G77" s="313">
        <v>0</v>
      </c>
      <c r="H77" s="313">
        <v>0</v>
      </c>
    </row>
    <row r="78" spans="1:8" ht="20.100000000000001" customHeight="1">
      <c r="A78" s="33" t="s">
        <v>383</v>
      </c>
      <c r="B78" s="119">
        <v>142995</v>
      </c>
      <c r="C78" s="119">
        <v>142734</v>
      </c>
      <c r="D78" s="119"/>
      <c r="E78" s="313">
        <v>227</v>
      </c>
      <c r="F78" s="313">
        <v>34</v>
      </c>
      <c r="G78" s="313">
        <v>0</v>
      </c>
      <c r="H78" s="313">
        <v>0</v>
      </c>
    </row>
    <row r="79" spans="1:8" ht="20.100000000000001" customHeight="1">
      <c r="A79" s="33" t="s">
        <v>388</v>
      </c>
      <c r="B79" s="119">
        <v>105217</v>
      </c>
      <c r="C79" s="119">
        <v>59347</v>
      </c>
      <c r="D79" s="119"/>
      <c r="E79" s="313">
        <v>45870</v>
      </c>
      <c r="F79" s="313">
        <v>0</v>
      </c>
      <c r="G79" s="313">
        <v>0</v>
      </c>
      <c r="H79" s="313">
        <v>0</v>
      </c>
    </row>
    <row r="80" spans="1:8" ht="20.100000000000001" customHeight="1">
      <c r="A80" s="33" t="s">
        <v>392</v>
      </c>
      <c r="B80" s="119">
        <v>6172238</v>
      </c>
      <c r="C80" s="119">
        <v>6018866</v>
      </c>
      <c r="D80" s="119">
        <f t="shared" ref="D80:H80" si="7">SUM(D81:D101)</f>
        <v>0</v>
      </c>
      <c r="E80" s="119">
        <f t="shared" si="7"/>
        <v>80359</v>
      </c>
      <c r="F80" s="119">
        <f t="shared" si="7"/>
        <v>73013</v>
      </c>
      <c r="G80" s="119">
        <f t="shared" si="7"/>
        <v>0</v>
      </c>
      <c r="H80" s="119">
        <f t="shared" si="7"/>
        <v>0</v>
      </c>
    </row>
    <row r="81" spans="1:8" ht="20.100000000000001" customHeight="1">
      <c r="A81" s="33" t="s">
        <v>393</v>
      </c>
      <c r="B81" s="119">
        <v>242477</v>
      </c>
      <c r="C81" s="119">
        <v>232114</v>
      </c>
      <c r="D81" s="119"/>
      <c r="E81" s="313">
        <v>363</v>
      </c>
      <c r="F81" s="313">
        <v>10000</v>
      </c>
      <c r="G81" s="313">
        <v>0</v>
      </c>
      <c r="H81" s="313">
        <v>0</v>
      </c>
    </row>
    <row r="82" spans="1:8" ht="20.100000000000001" customHeight="1">
      <c r="A82" s="33" t="s">
        <v>407</v>
      </c>
      <c r="B82" s="119">
        <v>453561</v>
      </c>
      <c r="C82" s="119">
        <v>450435</v>
      </c>
      <c r="D82" s="119"/>
      <c r="E82" s="313">
        <v>240</v>
      </c>
      <c r="F82" s="313">
        <v>2886</v>
      </c>
      <c r="G82" s="313">
        <v>0</v>
      </c>
      <c r="H82" s="313">
        <v>0</v>
      </c>
    </row>
    <row r="83" spans="1:8" ht="20.100000000000001" customHeight="1">
      <c r="A83" s="33" t="s">
        <v>412</v>
      </c>
      <c r="B83" s="119">
        <v>150</v>
      </c>
      <c r="C83" s="119">
        <v>150</v>
      </c>
      <c r="D83" s="119"/>
      <c r="E83" s="313">
        <v>0</v>
      </c>
      <c r="F83" s="313">
        <v>0</v>
      </c>
      <c r="G83" s="313">
        <v>0</v>
      </c>
      <c r="H83" s="313">
        <v>0</v>
      </c>
    </row>
    <row r="84" spans="1:8" ht="20.100000000000001" customHeight="1">
      <c r="A84" s="33" t="s">
        <v>414</v>
      </c>
      <c r="B84" s="119">
        <v>2440852</v>
      </c>
      <c r="C84" s="119">
        <v>2361877</v>
      </c>
      <c r="D84" s="119"/>
      <c r="E84" s="313">
        <v>21100</v>
      </c>
      <c r="F84" s="313">
        <v>57875</v>
      </c>
      <c r="G84" s="313">
        <v>0</v>
      </c>
      <c r="H84" s="313">
        <v>0</v>
      </c>
    </row>
    <row r="85" spans="1:8" ht="20.100000000000001" customHeight="1">
      <c r="A85" s="33" t="s">
        <v>423</v>
      </c>
      <c r="B85" s="119">
        <v>53428</v>
      </c>
      <c r="C85" s="119">
        <v>52945</v>
      </c>
      <c r="D85" s="119"/>
      <c r="E85" s="313">
        <v>483</v>
      </c>
      <c r="F85" s="313">
        <v>0</v>
      </c>
      <c r="G85" s="313">
        <v>0</v>
      </c>
      <c r="H85" s="313">
        <v>0</v>
      </c>
    </row>
    <row r="86" spans="1:8" ht="20.100000000000001" customHeight="1">
      <c r="A86" s="33" t="s">
        <v>427</v>
      </c>
      <c r="B86" s="119">
        <v>284362</v>
      </c>
      <c r="C86" s="119">
        <v>230711</v>
      </c>
      <c r="D86" s="119"/>
      <c r="E86" s="313">
        <v>53451</v>
      </c>
      <c r="F86" s="313">
        <v>200</v>
      </c>
      <c r="G86" s="313">
        <v>0</v>
      </c>
      <c r="H86" s="313">
        <v>0</v>
      </c>
    </row>
    <row r="87" spans="1:8" ht="20.100000000000001" customHeight="1">
      <c r="A87" s="33" t="s">
        <v>437</v>
      </c>
      <c r="B87" s="119">
        <v>58698</v>
      </c>
      <c r="C87" s="119">
        <v>58312</v>
      </c>
      <c r="D87" s="119"/>
      <c r="E87" s="313">
        <v>386</v>
      </c>
      <c r="F87" s="313">
        <v>0</v>
      </c>
      <c r="G87" s="313">
        <v>0</v>
      </c>
      <c r="H87" s="313">
        <v>0</v>
      </c>
    </row>
    <row r="88" spans="1:8" ht="20.100000000000001" customHeight="1">
      <c r="A88" s="33" t="s">
        <v>445</v>
      </c>
      <c r="B88" s="119">
        <v>583619</v>
      </c>
      <c r="C88" s="119">
        <v>582764</v>
      </c>
      <c r="D88" s="119"/>
      <c r="E88" s="313">
        <v>855</v>
      </c>
      <c r="F88" s="313">
        <v>0</v>
      </c>
      <c r="G88" s="313">
        <v>0</v>
      </c>
      <c r="H88" s="313">
        <v>0</v>
      </c>
    </row>
    <row r="89" spans="1:8" ht="20.100000000000001" customHeight="1">
      <c r="A89" s="33" t="s">
        <v>452</v>
      </c>
      <c r="B89" s="119">
        <v>92692</v>
      </c>
      <c r="C89" s="119">
        <v>92255</v>
      </c>
      <c r="D89" s="119"/>
      <c r="E89" s="313">
        <v>412</v>
      </c>
      <c r="F89" s="313">
        <v>25</v>
      </c>
      <c r="G89" s="313">
        <v>0</v>
      </c>
      <c r="H89" s="313">
        <v>0</v>
      </c>
    </row>
    <row r="90" spans="1:8" ht="20.100000000000001" customHeight="1">
      <c r="A90" s="33" t="s">
        <v>460</v>
      </c>
      <c r="B90" s="119">
        <v>60639</v>
      </c>
      <c r="C90" s="119">
        <v>59998</v>
      </c>
      <c r="D90" s="119"/>
      <c r="E90" s="313">
        <v>641</v>
      </c>
      <c r="F90" s="313">
        <v>0</v>
      </c>
      <c r="G90" s="313">
        <v>0</v>
      </c>
      <c r="H90" s="313">
        <v>0</v>
      </c>
    </row>
    <row r="91" spans="1:8" ht="20.100000000000001" customHeight="1">
      <c r="A91" s="33" t="s">
        <v>466</v>
      </c>
      <c r="B91" s="119">
        <v>6261</v>
      </c>
      <c r="C91" s="119">
        <v>6261</v>
      </c>
      <c r="D91" s="119"/>
      <c r="E91" s="313">
        <v>0</v>
      </c>
      <c r="F91" s="313">
        <v>0</v>
      </c>
      <c r="G91" s="313">
        <v>0</v>
      </c>
      <c r="H91" s="313">
        <v>0</v>
      </c>
    </row>
    <row r="92" spans="1:8" ht="20.100000000000001" customHeight="1">
      <c r="A92" s="33" t="s">
        <v>468</v>
      </c>
      <c r="B92" s="119">
        <v>42786</v>
      </c>
      <c r="C92" s="119">
        <v>42700</v>
      </c>
      <c r="D92" s="119"/>
      <c r="E92" s="313">
        <v>86</v>
      </c>
      <c r="F92" s="313">
        <v>0</v>
      </c>
      <c r="G92" s="313">
        <v>0</v>
      </c>
      <c r="H92" s="313">
        <v>0</v>
      </c>
    </row>
    <row r="93" spans="1:8" ht="20.100000000000001" customHeight="1">
      <c r="A93" s="33" t="s">
        <v>471</v>
      </c>
      <c r="B93" s="119">
        <v>11862</v>
      </c>
      <c r="C93" s="119">
        <v>11857</v>
      </c>
      <c r="D93" s="119"/>
      <c r="E93" s="313">
        <v>5</v>
      </c>
      <c r="F93" s="313">
        <v>0</v>
      </c>
      <c r="G93" s="313">
        <v>0</v>
      </c>
      <c r="H93" s="313">
        <v>0</v>
      </c>
    </row>
    <row r="94" spans="1:8" ht="20.100000000000001" customHeight="1">
      <c r="A94" s="33" t="s">
        <v>474</v>
      </c>
      <c r="B94" s="119">
        <v>4330</v>
      </c>
      <c r="C94" s="119">
        <v>4295</v>
      </c>
      <c r="D94" s="119"/>
      <c r="E94" s="313">
        <v>35</v>
      </c>
      <c r="F94" s="313">
        <v>0</v>
      </c>
      <c r="G94" s="313">
        <v>0</v>
      </c>
      <c r="H94" s="313">
        <v>0</v>
      </c>
    </row>
    <row r="95" spans="1:8" ht="20.100000000000001" customHeight="1">
      <c r="A95" s="33" t="s">
        <v>477</v>
      </c>
      <c r="B95" s="119">
        <v>0</v>
      </c>
      <c r="C95" s="119">
        <v>0</v>
      </c>
      <c r="D95" s="119"/>
      <c r="E95" s="313">
        <v>0</v>
      </c>
      <c r="F95" s="313">
        <v>0</v>
      </c>
      <c r="G95" s="313">
        <v>0</v>
      </c>
      <c r="H95" s="313">
        <v>0</v>
      </c>
    </row>
    <row r="96" spans="1:8" ht="20.100000000000001" customHeight="1">
      <c r="A96" s="33" t="s">
        <v>480</v>
      </c>
      <c r="B96" s="119">
        <v>1587</v>
      </c>
      <c r="C96" s="119">
        <v>1587</v>
      </c>
      <c r="D96" s="119"/>
      <c r="E96" s="313">
        <v>0</v>
      </c>
      <c r="F96" s="313">
        <v>0</v>
      </c>
      <c r="G96" s="313">
        <v>0</v>
      </c>
      <c r="H96" s="313">
        <v>0</v>
      </c>
    </row>
    <row r="97" spans="1:8" ht="20.100000000000001" customHeight="1">
      <c r="A97" s="33" t="s">
        <v>483</v>
      </c>
      <c r="B97" s="119">
        <v>1195295</v>
      </c>
      <c r="C97" s="119">
        <v>1193698</v>
      </c>
      <c r="D97" s="119"/>
      <c r="E97" s="313">
        <v>70</v>
      </c>
      <c r="F97" s="313">
        <v>1527</v>
      </c>
      <c r="G97" s="313">
        <v>0</v>
      </c>
      <c r="H97" s="313">
        <v>0</v>
      </c>
    </row>
    <row r="98" spans="1:8" ht="20.100000000000001" customHeight="1">
      <c r="A98" s="33" t="s">
        <v>487</v>
      </c>
      <c r="B98" s="119">
        <v>28007</v>
      </c>
      <c r="C98" s="119">
        <v>28007</v>
      </c>
      <c r="D98" s="119"/>
      <c r="E98" s="313">
        <v>0</v>
      </c>
      <c r="F98" s="313">
        <v>0</v>
      </c>
      <c r="G98" s="313">
        <v>0</v>
      </c>
      <c r="H98" s="313">
        <v>0</v>
      </c>
    </row>
    <row r="99" spans="1:8" ht="20.100000000000001" customHeight="1">
      <c r="A99" s="56" t="s">
        <v>491</v>
      </c>
      <c r="B99" s="119">
        <v>23924</v>
      </c>
      <c r="C99" s="119">
        <v>23277</v>
      </c>
      <c r="D99" s="119"/>
      <c r="E99" s="313">
        <v>147</v>
      </c>
      <c r="F99" s="313">
        <v>500</v>
      </c>
      <c r="G99" s="313">
        <v>0</v>
      </c>
      <c r="H99" s="313">
        <v>0</v>
      </c>
    </row>
    <row r="100" spans="1:8" ht="20.100000000000001" customHeight="1">
      <c r="A100" s="33" t="s">
        <v>495</v>
      </c>
      <c r="B100" s="119">
        <v>253</v>
      </c>
      <c r="C100" s="119">
        <v>253</v>
      </c>
      <c r="D100" s="119"/>
      <c r="E100" s="313">
        <v>0</v>
      </c>
      <c r="F100" s="313">
        <v>0</v>
      </c>
      <c r="G100" s="313">
        <v>0</v>
      </c>
      <c r="H100" s="313">
        <v>0</v>
      </c>
    </row>
    <row r="101" spans="1:8" ht="20.100000000000001" customHeight="1">
      <c r="A101" s="33" t="s">
        <v>498</v>
      </c>
      <c r="B101" s="119">
        <v>587455</v>
      </c>
      <c r="C101" s="119">
        <v>585370</v>
      </c>
      <c r="D101" s="119"/>
      <c r="E101" s="313">
        <v>2085</v>
      </c>
      <c r="F101" s="313">
        <v>0</v>
      </c>
      <c r="G101" s="313">
        <v>0</v>
      </c>
      <c r="H101" s="313">
        <v>0</v>
      </c>
    </row>
    <row r="102" spans="1:8" ht="20.100000000000001" customHeight="1">
      <c r="A102" s="33" t="s">
        <v>499</v>
      </c>
      <c r="B102" s="119">
        <v>3436121</v>
      </c>
      <c r="C102" s="119">
        <v>2907404</v>
      </c>
      <c r="D102" s="119">
        <f t="shared" ref="D102:H102" si="8">SUM(D103:D115)</f>
        <v>40483</v>
      </c>
      <c r="E102" s="119">
        <f t="shared" si="8"/>
        <v>208100</v>
      </c>
      <c r="F102" s="119">
        <f t="shared" si="8"/>
        <v>92334</v>
      </c>
      <c r="G102" s="119">
        <f t="shared" si="8"/>
        <v>187800</v>
      </c>
      <c r="H102" s="119">
        <f t="shared" si="8"/>
        <v>0</v>
      </c>
    </row>
    <row r="103" spans="1:8" ht="20.100000000000001" customHeight="1">
      <c r="A103" s="33" t="s">
        <v>500</v>
      </c>
      <c r="B103" s="119">
        <v>101361</v>
      </c>
      <c r="C103" s="119">
        <v>98273</v>
      </c>
      <c r="D103" s="119"/>
      <c r="E103" s="313">
        <v>3088</v>
      </c>
      <c r="F103" s="313">
        <v>0</v>
      </c>
      <c r="G103" s="313">
        <v>0</v>
      </c>
      <c r="H103" s="313">
        <v>0</v>
      </c>
    </row>
    <row r="104" spans="1:8" ht="20.100000000000001" customHeight="1">
      <c r="A104" s="33" t="s">
        <v>502</v>
      </c>
      <c r="B104" s="119">
        <v>683136</v>
      </c>
      <c r="C104" s="119">
        <v>611211</v>
      </c>
      <c r="D104" s="119"/>
      <c r="E104" s="313">
        <v>34925</v>
      </c>
      <c r="F104" s="313">
        <v>37000</v>
      </c>
      <c r="G104" s="313">
        <v>0</v>
      </c>
      <c r="H104" s="313">
        <v>0</v>
      </c>
    </row>
    <row r="105" spans="1:8" ht="20.100000000000001" customHeight="1">
      <c r="A105" s="33" t="s">
        <v>516</v>
      </c>
      <c r="B105" s="119">
        <v>315116</v>
      </c>
      <c r="C105" s="119">
        <v>307031</v>
      </c>
      <c r="D105" s="119"/>
      <c r="E105" s="313">
        <v>7585</v>
      </c>
      <c r="F105" s="313">
        <v>500</v>
      </c>
      <c r="G105" s="313">
        <v>0</v>
      </c>
      <c r="H105" s="313">
        <v>0</v>
      </c>
    </row>
    <row r="106" spans="1:8" ht="20.100000000000001" customHeight="1">
      <c r="A106" s="33" t="s">
        <v>520</v>
      </c>
      <c r="B106" s="119">
        <v>725810</v>
      </c>
      <c r="C106" s="119">
        <v>335190</v>
      </c>
      <c r="D106" s="119">
        <v>30228</v>
      </c>
      <c r="E106" s="313">
        <v>134625</v>
      </c>
      <c r="F106" s="313">
        <v>37967</v>
      </c>
      <c r="G106" s="313">
        <v>187800</v>
      </c>
      <c r="H106" s="313">
        <v>0</v>
      </c>
    </row>
    <row r="107" spans="1:8" ht="20.100000000000001" customHeight="1">
      <c r="A107" s="33" t="s">
        <v>532</v>
      </c>
      <c r="B107" s="119">
        <v>11796</v>
      </c>
      <c r="C107" s="119">
        <v>11519</v>
      </c>
      <c r="D107" s="119"/>
      <c r="E107" s="313">
        <v>277</v>
      </c>
      <c r="F107" s="313">
        <v>0</v>
      </c>
      <c r="G107" s="313">
        <v>0</v>
      </c>
      <c r="H107" s="313">
        <v>0</v>
      </c>
    </row>
    <row r="108" spans="1:8" ht="20.100000000000001" customHeight="1">
      <c r="A108" s="33" t="s">
        <v>535</v>
      </c>
      <c r="B108" s="119">
        <v>122610</v>
      </c>
      <c r="C108" s="119">
        <v>121012</v>
      </c>
      <c r="D108" s="119"/>
      <c r="E108" s="313">
        <v>1598</v>
      </c>
      <c r="F108" s="313">
        <v>0</v>
      </c>
      <c r="G108" s="313">
        <v>0</v>
      </c>
      <c r="H108" s="313">
        <v>0</v>
      </c>
    </row>
    <row r="109" spans="1:8" ht="20.100000000000001" customHeight="1">
      <c r="A109" s="33" t="s">
        <v>539</v>
      </c>
      <c r="B109" s="119">
        <v>330257</v>
      </c>
      <c r="C109" s="119">
        <v>323257</v>
      </c>
      <c r="D109" s="119"/>
      <c r="E109" s="313">
        <v>0</v>
      </c>
      <c r="F109" s="313">
        <v>7000</v>
      </c>
      <c r="G109" s="313">
        <v>0</v>
      </c>
      <c r="H109" s="313">
        <v>0</v>
      </c>
    </row>
    <row r="110" spans="1:8" ht="20.100000000000001" customHeight="1">
      <c r="A110" s="33" t="s">
        <v>544</v>
      </c>
      <c r="B110" s="119">
        <v>868156</v>
      </c>
      <c r="C110" s="119">
        <v>852881</v>
      </c>
      <c r="D110" s="119"/>
      <c r="E110" s="313">
        <v>7525</v>
      </c>
      <c r="F110" s="313">
        <v>7750</v>
      </c>
      <c r="G110" s="313">
        <v>0</v>
      </c>
      <c r="H110" s="313">
        <v>0</v>
      </c>
    </row>
    <row r="111" spans="1:8" ht="20.100000000000001" customHeight="1">
      <c r="A111" s="33" t="s">
        <v>548</v>
      </c>
      <c r="B111" s="119">
        <v>127987</v>
      </c>
      <c r="C111" s="119">
        <v>117486</v>
      </c>
      <c r="D111" s="119">
        <v>10255</v>
      </c>
      <c r="E111" s="313">
        <v>246</v>
      </c>
      <c r="F111" s="313">
        <v>0</v>
      </c>
      <c r="G111" s="313">
        <v>0</v>
      </c>
      <c r="H111" s="313">
        <v>0</v>
      </c>
    </row>
    <row r="112" spans="1:8" ht="20.100000000000001" customHeight="1">
      <c r="A112" s="33" t="s">
        <v>552</v>
      </c>
      <c r="B112" s="119">
        <v>1658</v>
      </c>
      <c r="C112" s="119">
        <v>1615</v>
      </c>
      <c r="D112" s="119"/>
      <c r="E112" s="313">
        <v>43</v>
      </c>
      <c r="F112" s="313">
        <v>0</v>
      </c>
      <c r="G112" s="313">
        <v>0</v>
      </c>
      <c r="H112" s="313">
        <v>0</v>
      </c>
    </row>
    <row r="113" spans="1:8" ht="20.100000000000001" customHeight="1">
      <c r="A113" s="33" t="s">
        <v>555</v>
      </c>
      <c r="B113" s="119">
        <v>59794</v>
      </c>
      <c r="C113" s="119">
        <v>56978</v>
      </c>
      <c r="D113" s="119"/>
      <c r="E113" s="313">
        <v>699</v>
      </c>
      <c r="F113" s="313">
        <v>2117</v>
      </c>
      <c r="G113" s="313">
        <v>0</v>
      </c>
      <c r="H113" s="313">
        <v>0</v>
      </c>
    </row>
    <row r="114" spans="1:8" ht="20.100000000000001" customHeight="1">
      <c r="A114" s="33" t="s">
        <v>559</v>
      </c>
      <c r="B114" s="119">
        <v>1596</v>
      </c>
      <c r="C114" s="119">
        <v>1596</v>
      </c>
      <c r="D114" s="119"/>
      <c r="E114" s="313">
        <v>0</v>
      </c>
      <c r="F114" s="313">
        <v>0</v>
      </c>
      <c r="G114" s="313">
        <v>0</v>
      </c>
      <c r="H114" s="313">
        <v>0</v>
      </c>
    </row>
    <row r="115" spans="1:8" ht="20.100000000000001" customHeight="1">
      <c r="A115" s="64" t="s">
        <v>560</v>
      </c>
      <c r="B115" s="119">
        <v>86844</v>
      </c>
      <c r="C115" s="119">
        <v>69355</v>
      </c>
      <c r="D115" s="119"/>
      <c r="E115" s="313">
        <v>17489</v>
      </c>
      <c r="F115" s="313">
        <v>0</v>
      </c>
      <c r="G115" s="313">
        <v>0</v>
      </c>
      <c r="H115" s="313">
        <v>0</v>
      </c>
    </row>
    <row r="116" spans="1:8" ht="20.100000000000001" customHeight="1">
      <c r="A116" s="64" t="s">
        <v>561</v>
      </c>
      <c r="B116" s="119">
        <v>623455</v>
      </c>
      <c r="C116" s="119">
        <v>502636</v>
      </c>
      <c r="D116" s="119">
        <f t="shared" ref="D116:H116" si="9">SUM(D117:D131)</f>
        <v>50956</v>
      </c>
      <c r="E116" s="119">
        <f t="shared" si="9"/>
        <v>66863</v>
      </c>
      <c r="F116" s="119">
        <f t="shared" si="9"/>
        <v>3000</v>
      </c>
      <c r="G116" s="119">
        <f t="shared" si="9"/>
        <v>0</v>
      </c>
      <c r="H116" s="119">
        <f t="shared" si="9"/>
        <v>0</v>
      </c>
    </row>
    <row r="117" spans="1:8" ht="20.100000000000001" customHeight="1">
      <c r="A117" s="64" t="s">
        <v>562</v>
      </c>
      <c r="B117" s="119">
        <v>57163</v>
      </c>
      <c r="C117" s="119">
        <v>56638</v>
      </c>
      <c r="D117" s="119"/>
      <c r="E117" s="313">
        <v>525</v>
      </c>
      <c r="F117" s="313">
        <v>0</v>
      </c>
      <c r="G117" s="313">
        <v>0</v>
      </c>
      <c r="H117" s="313">
        <v>0</v>
      </c>
    </row>
    <row r="118" spans="1:8" ht="20.100000000000001" customHeight="1">
      <c r="A118" s="64" t="s">
        <v>569</v>
      </c>
      <c r="B118" s="119">
        <v>7872</v>
      </c>
      <c r="C118" s="119">
        <v>7872</v>
      </c>
      <c r="D118" s="119"/>
      <c r="E118" s="313">
        <v>0</v>
      </c>
      <c r="F118" s="313">
        <v>0</v>
      </c>
      <c r="G118" s="313">
        <v>0</v>
      </c>
      <c r="H118" s="313">
        <v>0</v>
      </c>
    </row>
    <row r="119" spans="1:8" ht="20.100000000000001" customHeight="1">
      <c r="A119" s="64" t="s">
        <v>573</v>
      </c>
      <c r="B119" s="119">
        <v>135484</v>
      </c>
      <c r="C119" s="119">
        <v>84629</v>
      </c>
      <c r="D119" s="119">
        <v>40731</v>
      </c>
      <c r="E119" s="313">
        <v>7124</v>
      </c>
      <c r="F119" s="313">
        <v>3000</v>
      </c>
      <c r="G119" s="313">
        <v>0</v>
      </c>
      <c r="H119" s="313">
        <v>0</v>
      </c>
    </row>
    <row r="120" spans="1:8" ht="20.100000000000001" customHeight="1">
      <c r="A120" s="64" t="s">
        <v>582</v>
      </c>
      <c r="B120" s="119">
        <v>40361</v>
      </c>
      <c r="C120" s="119">
        <v>18339</v>
      </c>
      <c r="D120" s="119">
        <v>10225</v>
      </c>
      <c r="E120" s="313">
        <v>11797</v>
      </c>
      <c r="F120" s="313">
        <v>0</v>
      </c>
      <c r="G120" s="313">
        <v>0</v>
      </c>
      <c r="H120" s="313">
        <v>0</v>
      </c>
    </row>
    <row r="121" spans="1:8" ht="20.100000000000001" customHeight="1">
      <c r="A121" s="64" t="s">
        <v>587</v>
      </c>
      <c r="B121" s="119">
        <v>106199</v>
      </c>
      <c r="C121" s="119">
        <v>106199</v>
      </c>
      <c r="D121" s="119"/>
      <c r="E121" s="313">
        <v>0</v>
      </c>
      <c r="F121" s="313">
        <v>0</v>
      </c>
      <c r="G121" s="313">
        <v>0</v>
      </c>
      <c r="H121" s="313">
        <v>0</v>
      </c>
    </row>
    <row r="122" spans="1:8" ht="20.100000000000001" customHeight="1">
      <c r="A122" s="64" t="s">
        <v>594</v>
      </c>
      <c r="B122" s="119">
        <v>50567</v>
      </c>
      <c r="C122" s="119">
        <v>20296</v>
      </c>
      <c r="D122" s="119"/>
      <c r="E122" s="313">
        <v>30271</v>
      </c>
      <c r="F122" s="313">
        <v>0</v>
      </c>
      <c r="G122" s="313">
        <v>0</v>
      </c>
      <c r="H122" s="313">
        <v>0</v>
      </c>
    </row>
    <row r="123" spans="1:8" ht="20.100000000000001" customHeight="1">
      <c r="A123" s="64" t="s">
        <v>600</v>
      </c>
      <c r="B123" s="119">
        <v>0</v>
      </c>
      <c r="C123" s="119">
        <v>0</v>
      </c>
      <c r="D123" s="119"/>
      <c r="E123" s="313">
        <v>0</v>
      </c>
      <c r="F123" s="313">
        <v>0</v>
      </c>
      <c r="G123" s="313">
        <v>0</v>
      </c>
      <c r="H123" s="313">
        <v>0</v>
      </c>
    </row>
    <row r="124" spans="1:8" ht="20.100000000000001" customHeight="1">
      <c r="A124" s="64" t="s">
        <v>603</v>
      </c>
      <c r="B124" s="119">
        <v>1191</v>
      </c>
      <c r="C124" s="119">
        <v>1191</v>
      </c>
      <c r="D124" s="119"/>
      <c r="E124" s="313">
        <v>0</v>
      </c>
      <c r="F124" s="313">
        <v>0</v>
      </c>
      <c r="G124" s="313">
        <v>0</v>
      </c>
      <c r="H124" s="313">
        <v>0</v>
      </c>
    </row>
    <row r="125" spans="1:8" ht="20.100000000000001" customHeight="1">
      <c r="A125" s="64" t="s">
        <v>606</v>
      </c>
      <c r="B125" s="119">
        <v>0</v>
      </c>
      <c r="C125" s="119">
        <v>0</v>
      </c>
      <c r="D125" s="119"/>
      <c r="E125" s="313">
        <v>0</v>
      </c>
      <c r="F125" s="313">
        <v>0</v>
      </c>
      <c r="G125" s="313">
        <v>0</v>
      </c>
      <c r="H125" s="313">
        <v>0</v>
      </c>
    </row>
    <row r="126" spans="1:8" ht="20.100000000000001" customHeight="1">
      <c r="A126" s="64" t="s">
        <v>607</v>
      </c>
      <c r="B126" s="119">
        <v>8808</v>
      </c>
      <c r="C126" s="119">
        <v>8313</v>
      </c>
      <c r="D126" s="119"/>
      <c r="E126" s="313">
        <v>495</v>
      </c>
      <c r="F126" s="313">
        <v>0</v>
      </c>
      <c r="G126" s="313">
        <v>0</v>
      </c>
      <c r="H126" s="313">
        <v>0</v>
      </c>
    </row>
    <row r="127" spans="1:8" ht="20.100000000000001" customHeight="1">
      <c r="A127" s="64" t="s">
        <v>608</v>
      </c>
      <c r="B127" s="119">
        <v>31845</v>
      </c>
      <c r="C127" s="119">
        <v>28307</v>
      </c>
      <c r="D127" s="119"/>
      <c r="E127" s="313">
        <v>3538</v>
      </c>
      <c r="F127" s="313">
        <v>0</v>
      </c>
      <c r="G127" s="313">
        <v>0</v>
      </c>
      <c r="H127" s="313">
        <v>0</v>
      </c>
    </row>
    <row r="128" spans="1:8" ht="20.100000000000001" customHeight="1">
      <c r="A128" s="64" t="s">
        <v>614</v>
      </c>
      <c r="B128" s="119">
        <v>0</v>
      </c>
      <c r="C128" s="119">
        <v>0</v>
      </c>
      <c r="D128" s="119"/>
      <c r="E128" s="313">
        <v>0</v>
      </c>
      <c r="F128" s="313">
        <v>0</v>
      </c>
      <c r="G128" s="313">
        <v>0</v>
      </c>
      <c r="H128" s="313">
        <v>0</v>
      </c>
    </row>
    <row r="129" spans="1:8" ht="20.100000000000001" customHeight="1">
      <c r="A129" s="64" t="s">
        <v>615</v>
      </c>
      <c r="B129" s="119">
        <v>463</v>
      </c>
      <c r="C129" s="119">
        <v>265</v>
      </c>
      <c r="D129" s="119"/>
      <c r="E129" s="313">
        <v>198</v>
      </c>
      <c r="F129" s="313">
        <v>0</v>
      </c>
      <c r="G129" s="313">
        <v>0</v>
      </c>
      <c r="H129" s="313">
        <v>0</v>
      </c>
    </row>
    <row r="130" spans="1:8" ht="20.100000000000001" customHeight="1">
      <c r="A130" s="64" t="s">
        <v>616</v>
      </c>
      <c r="B130" s="119">
        <v>181523</v>
      </c>
      <c r="C130" s="119">
        <v>169083</v>
      </c>
      <c r="D130" s="119"/>
      <c r="E130" s="313">
        <v>12440</v>
      </c>
      <c r="F130" s="313">
        <v>0</v>
      </c>
      <c r="G130" s="313">
        <v>0</v>
      </c>
      <c r="H130" s="313">
        <v>0</v>
      </c>
    </row>
    <row r="131" spans="1:8" ht="20.100000000000001" customHeight="1">
      <c r="A131" s="64" t="s">
        <v>626</v>
      </c>
      <c r="B131" s="119">
        <v>1979</v>
      </c>
      <c r="C131" s="119">
        <v>1504</v>
      </c>
      <c r="D131" s="119"/>
      <c r="E131" s="313">
        <v>475</v>
      </c>
      <c r="F131" s="313">
        <v>0</v>
      </c>
      <c r="G131" s="313">
        <v>0</v>
      </c>
      <c r="H131" s="313">
        <v>0</v>
      </c>
    </row>
    <row r="132" spans="1:8" ht="20.100000000000001" customHeight="1">
      <c r="A132" s="64" t="s">
        <v>627</v>
      </c>
      <c r="B132" s="119">
        <v>1930114</v>
      </c>
      <c r="C132" s="119">
        <v>1773073</v>
      </c>
      <c r="D132" s="119">
        <f t="shared" ref="D132:H132" si="10">SUM(D133:D138)</f>
        <v>0</v>
      </c>
      <c r="E132" s="119">
        <f t="shared" si="10"/>
        <v>66725</v>
      </c>
      <c r="F132" s="119">
        <f t="shared" si="10"/>
        <v>79816</v>
      </c>
      <c r="G132" s="119">
        <f t="shared" si="10"/>
        <v>10500</v>
      </c>
      <c r="H132" s="119">
        <f t="shared" si="10"/>
        <v>0</v>
      </c>
    </row>
    <row r="133" spans="1:8" ht="20.100000000000001" customHeight="1">
      <c r="A133" s="64" t="s">
        <v>628</v>
      </c>
      <c r="B133" s="119">
        <v>432262</v>
      </c>
      <c r="C133" s="119">
        <v>418201</v>
      </c>
      <c r="D133" s="119"/>
      <c r="E133" s="313">
        <v>1946</v>
      </c>
      <c r="F133" s="313">
        <v>12115</v>
      </c>
      <c r="G133" s="313">
        <v>0</v>
      </c>
      <c r="H133" s="313">
        <v>0</v>
      </c>
    </row>
    <row r="134" spans="1:8" ht="20.100000000000001" customHeight="1">
      <c r="A134" s="64" t="s">
        <v>636</v>
      </c>
      <c r="B134" s="119">
        <v>9734</v>
      </c>
      <c r="C134" s="119">
        <v>9734</v>
      </c>
      <c r="D134" s="119"/>
      <c r="E134" s="313">
        <v>0</v>
      </c>
      <c r="F134" s="313">
        <v>0</v>
      </c>
      <c r="G134" s="313">
        <v>0</v>
      </c>
      <c r="H134" s="313">
        <v>0</v>
      </c>
    </row>
    <row r="135" spans="1:8" ht="20.100000000000001" customHeight="1">
      <c r="A135" s="64" t="s">
        <v>637</v>
      </c>
      <c r="B135" s="119">
        <v>718728</v>
      </c>
      <c r="C135" s="119">
        <v>593727</v>
      </c>
      <c r="D135" s="119"/>
      <c r="E135" s="313">
        <v>55921</v>
      </c>
      <c r="F135" s="313">
        <v>58580</v>
      </c>
      <c r="G135" s="313">
        <v>10500</v>
      </c>
      <c r="H135" s="313"/>
    </row>
    <row r="136" spans="1:8" ht="20.100000000000001" customHeight="1">
      <c r="A136" s="64" t="s">
        <v>640</v>
      </c>
      <c r="B136" s="119">
        <v>233015</v>
      </c>
      <c r="C136" s="119">
        <v>223637</v>
      </c>
      <c r="D136" s="119"/>
      <c r="E136" s="313">
        <v>854</v>
      </c>
      <c r="F136" s="313">
        <v>8524</v>
      </c>
      <c r="G136" s="313">
        <v>0</v>
      </c>
      <c r="H136" s="313">
        <v>0</v>
      </c>
    </row>
    <row r="137" spans="1:8" ht="20.100000000000001" customHeight="1">
      <c r="A137" s="64" t="s">
        <v>641</v>
      </c>
      <c r="B137" s="119">
        <v>3289</v>
      </c>
      <c r="C137" s="119">
        <v>3289</v>
      </c>
      <c r="D137" s="119"/>
      <c r="E137" s="313">
        <v>0</v>
      </c>
      <c r="F137" s="313">
        <v>0</v>
      </c>
      <c r="G137" s="313">
        <v>0</v>
      </c>
      <c r="H137" s="313">
        <v>0</v>
      </c>
    </row>
    <row r="138" spans="1:8" ht="20.100000000000001" customHeight="1">
      <c r="A138" s="64" t="s">
        <v>642</v>
      </c>
      <c r="B138" s="119">
        <v>533086</v>
      </c>
      <c r="C138" s="119">
        <v>524485</v>
      </c>
      <c r="D138" s="119"/>
      <c r="E138" s="313">
        <v>8004</v>
      </c>
      <c r="F138" s="313">
        <v>597</v>
      </c>
      <c r="G138" s="313">
        <v>0</v>
      </c>
      <c r="H138" s="313">
        <v>0</v>
      </c>
    </row>
    <row r="139" spans="1:8" ht="20.100000000000001" customHeight="1">
      <c r="A139" s="64" t="s">
        <v>643</v>
      </c>
      <c r="B139" s="119">
        <v>7077318</v>
      </c>
      <c r="C139" s="119">
        <v>5770002</v>
      </c>
      <c r="D139" s="119">
        <f t="shared" ref="D139:H139" si="11">SUM(D140:D147)</f>
        <v>465320</v>
      </c>
      <c r="E139" s="119">
        <f t="shared" si="11"/>
        <v>499857</v>
      </c>
      <c r="F139" s="119">
        <f t="shared" si="11"/>
        <v>240739</v>
      </c>
      <c r="G139" s="119">
        <f t="shared" si="11"/>
        <v>101400</v>
      </c>
      <c r="H139" s="119">
        <f t="shared" si="11"/>
        <v>0</v>
      </c>
    </row>
    <row r="140" spans="1:8" ht="20.100000000000001" customHeight="1">
      <c r="A140" s="64" t="s">
        <v>644</v>
      </c>
      <c r="B140" s="119">
        <v>1469256</v>
      </c>
      <c r="C140" s="119">
        <v>1038001</v>
      </c>
      <c r="D140" s="119">
        <v>45530</v>
      </c>
      <c r="E140" s="313">
        <v>136607</v>
      </c>
      <c r="F140" s="313">
        <v>147718</v>
      </c>
      <c r="G140" s="313">
        <v>101400</v>
      </c>
      <c r="H140" s="313">
        <v>0</v>
      </c>
    </row>
    <row r="141" spans="1:8" ht="20.100000000000001" customHeight="1">
      <c r="A141" s="64" t="s">
        <v>666</v>
      </c>
      <c r="B141" s="119">
        <v>471110</v>
      </c>
      <c r="C141" s="119">
        <v>384432</v>
      </c>
      <c r="D141" s="119">
        <v>23005</v>
      </c>
      <c r="E141" s="313">
        <v>12389</v>
      </c>
      <c r="F141" s="313">
        <v>51284</v>
      </c>
      <c r="G141" s="313">
        <v>0</v>
      </c>
      <c r="H141" s="313">
        <v>0</v>
      </c>
    </row>
    <row r="142" spans="1:8" ht="20.100000000000001" customHeight="1">
      <c r="A142" s="64" t="s">
        <v>687</v>
      </c>
      <c r="B142" s="119">
        <v>466327</v>
      </c>
      <c r="C142" s="119">
        <v>394808</v>
      </c>
      <c r="D142" s="119">
        <v>30500</v>
      </c>
      <c r="E142" s="313">
        <v>22305</v>
      </c>
      <c r="F142" s="313">
        <v>18714</v>
      </c>
      <c r="G142" s="313">
        <v>0</v>
      </c>
      <c r="H142" s="313">
        <v>0</v>
      </c>
    </row>
    <row r="143" spans="1:8" ht="20.100000000000001" customHeight="1">
      <c r="A143" s="64" t="s">
        <v>711</v>
      </c>
      <c r="B143" s="119">
        <v>1628145</v>
      </c>
      <c r="C143" s="119">
        <v>1083331</v>
      </c>
      <c r="D143" s="119">
        <v>352250</v>
      </c>
      <c r="E143" s="313">
        <v>172241</v>
      </c>
      <c r="F143" s="313">
        <v>20323</v>
      </c>
      <c r="G143" s="313">
        <v>0</v>
      </c>
      <c r="H143" s="313">
        <v>0</v>
      </c>
    </row>
    <row r="144" spans="1:8" ht="20.100000000000001" customHeight="1">
      <c r="A144" s="64" t="s">
        <v>719</v>
      </c>
      <c r="B144" s="119">
        <v>129136</v>
      </c>
      <c r="C144" s="119">
        <v>126539</v>
      </c>
      <c r="D144" s="119"/>
      <c r="E144" s="313">
        <v>2397</v>
      </c>
      <c r="F144" s="313">
        <v>200</v>
      </c>
      <c r="G144" s="313">
        <v>0</v>
      </c>
      <c r="H144" s="313">
        <v>0</v>
      </c>
    </row>
    <row r="145" spans="1:8" ht="20.100000000000001" customHeight="1">
      <c r="A145" s="64" t="s">
        <v>726</v>
      </c>
      <c r="B145" s="119">
        <v>253899</v>
      </c>
      <c r="C145" s="119">
        <v>238204</v>
      </c>
      <c r="D145" s="119"/>
      <c r="E145" s="313">
        <v>13195</v>
      </c>
      <c r="F145" s="313">
        <v>2500</v>
      </c>
      <c r="G145" s="313">
        <v>0</v>
      </c>
      <c r="H145" s="313">
        <v>0</v>
      </c>
    </row>
    <row r="146" spans="1:8" ht="20.100000000000001" customHeight="1">
      <c r="A146" s="64" t="s">
        <v>733</v>
      </c>
      <c r="B146" s="119">
        <v>2087385</v>
      </c>
      <c r="C146" s="119">
        <v>2087385</v>
      </c>
      <c r="D146" s="119"/>
      <c r="E146" s="313">
        <v>0</v>
      </c>
      <c r="F146" s="313">
        <v>0</v>
      </c>
      <c r="G146" s="313">
        <v>0</v>
      </c>
      <c r="H146" s="313">
        <v>0</v>
      </c>
    </row>
    <row r="147" spans="1:8" ht="20.100000000000001" customHeight="1">
      <c r="A147" s="64" t="s">
        <v>736</v>
      </c>
      <c r="B147" s="119">
        <v>572060</v>
      </c>
      <c r="C147" s="119">
        <v>417302</v>
      </c>
      <c r="D147" s="119">
        <v>14035</v>
      </c>
      <c r="E147" s="313">
        <v>140723</v>
      </c>
      <c r="F147" s="313">
        <v>0</v>
      </c>
      <c r="G147" s="313">
        <v>0</v>
      </c>
      <c r="H147" s="313">
        <v>0</v>
      </c>
    </row>
    <row r="148" spans="1:8" ht="20.100000000000001" customHeight="1">
      <c r="A148" s="65" t="s">
        <v>739</v>
      </c>
      <c r="B148" s="119">
        <v>2543762</v>
      </c>
      <c r="C148" s="119">
        <v>2381734</v>
      </c>
      <c r="D148" s="119">
        <f t="shared" ref="D148:H148" si="12">SUM(D149:D155)</f>
        <v>0</v>
      </c>
      <c r="E148" s="119">
        <f t="shared" si="12"/>
        <v>162028</v>
      </c>
      <c r="F148" s="119">
        <f t="shared" si="12"/>
        <v>0</v>
      </c>
      <c r="G148" s="119">
        <f t="shared" si="12"/>
        <v>0</v>
      </c>
      <c r="H148" s="119">
        <f t="shared" si="12"/>
        <v>0</v>
      </c>
    </row>
    <row r="149" spans="1:8" ht="20.100000000000001" customHeight="1">
      <c r="A149" s="64" t="s">
        <v>740</v>
      </c>
      <c r="B149" s="119">
        <v>629270</v>
      </c>
      <c r="C149" s="119">
        <v>596160</v>
      </c>
      <c r="D149" s="119"/>
      <c r="E149" s="313">
        <v>33110</v>
      </c>
      <c r="F149" s="313">
        <v>0</v>
      </c>
      <c r="G149" s="313"/>
      <c r="H149" s="313">
        <v>0</v>
      </c>
    </row>
    <row r="150" spans="1:8" ht="20.100000000000001" customHeight="1">
      <c r="A150" s="64" t="s">
        <v>760</v>
      </c>
      <c r="B150" s="119">
        <v>5401</v>
      </c>
      <c r="C150" s="119">
        <v>5358</v>
      </c>
      <c r="D150" s="119"/>
      <c r="E150" s="313">
        <v>43</v>
      </c>
      <c r="F150" s="313">
        <v>0</v>
      </c>
      <c r="G150" s="313">
        <v>0</v>
      </c>
      <c r="H150" s="313">
        <v>0</v>
      </c>
    </row>
    <row r="151" spans="1:8" ht="20.100000000000001" customHeight="1">
      <c r="A151" s="64" t="s">
        <v>767</v>
      </c>
      <c r="B151" s="119">
        <v>67788</v>
      </c>
      <c r="C151" s="119">
        <v>60384</v>
      </c>
      <c r="D151" s="119"/>
      <c r="E151" s="313">
        <v>7404</v>
      </c>
      <c r="F151" s="313">
        <v>0</v>
      </c>
      <c r="G151" s="313">
        <v>0</v>
      </c>
      <c r="H151" s="313">
        <v>0</v>
      </c>
    </row>
    <row r="152" spans="1:8" ht="20.100000000000001" customHeight="1">
      <c r="A152" s="64" t="s">
        <v>774</v>
      </c>
      <c r="B152" s="119">
        <v>56607</v>
      </c>
      <c r="C152" s="119">
        <v>52340</v>
      </c>
      <c r="D152" s="119"/>
      <c r="E152" s="313">
        <v>4267</v>
      </c>
      <c r="F152" s="313">
        <v>0</v>
      </c>
      <c r="G152" s="313">
        <v>0</v>
      </c>
      <c r="H152" s="313">
        <v>0</v>
      </c>
    </row>
    <row r="153" spans="1:8" ht="20.100000000000001" customHeight="1">
      <c r="A153" s="64" t="s">
        <v>779</v>
      </c>
      <c r="B153" s="119">
        <v>382</v>
      </c>
      <c r="C153" s="119">
        <v>379</v>
      </c>
      <c r="D153" s="119"/>
      <c r="E153" s="313">
        <v>3</v>
      </c>
      <c r="F153" s="313">
        <v>0</v>
      </c>
      <c r="G153" s="313">
        <v>0</v>
      </c>
      <c r="H153" s="313">
        <v>0</v>
      </c>
    </row>
    <row r="154" spans="1:8" ht="20.100000000000001" customHeight="1">
      <c r="A154" s="64" t="s">
        <v>782</v>
      </c>
      <c r="B154" s="119">
        <v>1663484</v>
      </c>
      <c r="C154" s="119">
        <v>1647869</v>
      </c>
      <c r="D154" s="119"/>
      <c r="E154" s="313">
        <v>15615</v>
      </c>
      <c r="F154" s="313">
        <v>0</v>
      </c>
      <c r="G154" s="313">
        <v>0</v>
      </c>
      <c r="H154" s="313">
        <v>0</v>
      </c>
    </row>
    <row r="155" spans="1:8" ht="20.100000000000001" customHeight="1">
      <c r="A155" s="64" t="s">
        <v>787</v>
      </c>
      <c r="B155" s="119">
        <v>120830</v>
      </c>
      <c r="C155" s="119">
        <v>19244</v>
      </c>
      <c r="D155" s="119"/>
      <c r="E155" s="313">
        <v>101586</v>
      </c>
      <c r="F155" s="313">
        <v>0</v>
      </c>
      <c r="G155" s="313">
        <v>0</v>
      </c>
      <c r="H155" s="313">
        <v>0</v>
      </c>
    </row>
    <row r="156" spans="1:8" ht="20.100000000000001" customHeight="1">
      <c r="A156" s="64" t="s">
        <v>790</v>
      </c>
      <c r="B156" s="119">
        <v>795167</v>
      </c>
      <c r="C156" s="119">
        <v>711694</v>
      </c>
      <c r="D156" s="119">
        <f t="shared" ref="D156:H156" si="13">SUM(D157:D163)</f>
        <v>11537</v>
      </c>
      <c r="E156" s="119">
        <f t="shared" si="13"/>
        <v>52201</v>
      </c>
      <c r="F156" s="119">
        <f t="shared" si="13"/>
        <v>19735</v>
      </c>
      <c r="G156" s="119">
        <f t="shared" si="13"/>
        <v>0</v>
      </c>
      <c r="H156" s="119">
        <f t="shared" si="13"/>
        <v>0</v>
      </c>
    </row>
    <row r="157" spans="1:8" ht="20.100000000000001" customHeight="1">
      <c r="A157" s="64" t="s">
        <v>791</v>
      </c>
      <c r="B157" s="119">
        <v>92290</v>
      </c>
      <c r="C157" s="119">
        <v>92290</v>
      </c>
      <c r="D157" s="119"/>
      <c r="E157" s="313">
        <v>0</v>
      </c>
      <c r="F157" s="313">
        <v>0</v>
      </c>
      <c r="G157" s="313">
        <v>0</v>
      </c>
      <c r="H157" s="313">
        <v>0</v>
      </c>
    </row>
    <row r="158" spans="1:8" ht="20.100000000000001" customHeight="1">
      <c r="A158" s="64" t="s">
        <v>798</v>
      </c>
      <c r="B158" s="119">
        <v>257770</v>
      </c>
      <c r="C158" s="119">
        <v>210460</v>
      </c>
      <c r="D158" s="119"/>
      <c r="E158" s="313">
        <v>47310</v>
      </c>
      <c r="F158" s="313">
        <v>0</v>
      </c>
      <c r="G158" s="313">
        <v>0</v>
      </c>
      <c r="H158" s="313">
        <v>0</v>
      </c>
    </row>
    <row r="159" spans="1:8" ht="20.100000000000001" customHeight="1">
      <c r="A159" s="64" t="s">
        <v>811</v>
      </c>
      <c r="B159" s="119">
        <v>449</v>
      </c>
      <c r="C159" s="119">
        <v>449</v>
      </c>
      <c r="D159" s="119"/>
      <c r="E159" s="313">
        <v>0</v>
      </c>
      <c r="F159" s="313">
        <v>0</v>
      </c>
      <c r="G159" s="313">
        <v>0</v>
      </c>
      <c r="H159" s="313">
        <v>0</v>
      </c>
    </row>
    <row r="160" spans="1:8" ht="20.100000000000001" customHeight="1">
      <c r="A160" s="64" t="s">
        <v>813</v>
      </c>
      <c r="B160" s="119">
        <v>35476</v>
      </c>
      <c r="C160" s="119">
        <v>29876</v>
      </c>
      <c r="D160" s="119"/>
      <c r="E160" s="313">
        <v>600</v>
      </c>
      <c r="F160" s="313">
        <v>5000</v>
      </c>
      <c r="G160" s="313">
        <v>0</v>
      </c>
      <c r="H160" s="313">
        <v>0</v>
      </c>
    </row>
    <row r="161" spans="1:8" ht="20.100000000000001" customHeight="1">
      <c r="A161" s="64" t="s">
        <v>820</v>
      </c>
      <c r="B161" s="119">
        <v>62604</v>
      </c>
      <c r="C161" s="119">
        <v>48669</v>
      </c>
      <c r="D161" s="119"/>
      <c r="E161" s="313">
        <v>0</v>
      </c>
      <c r="F161" s="313">
        <v>13935</v>
      </c>
      <c r="G161" s="313">
        <v>0</v>
      </c>
      <c r="H161" s="313">
        <v>0</v>
      </c>
    </row>
    <row r="162" spans="1:8" ht="20.100000000000001" customHeight="1">
      <c r="A162" s="64" t="s">
        <v>824</v>
      </c>
      <c r="B162" s="119">
        <v>346484</v>
      </c>
      <c r="C162" s="119">
        <v>329856</v>
      </c>
      <c r="D162" s="119">
        <v>11537</v>
      </c>
      <c r="E162" s="313">
        <v>4291</v>
      </c>
      <c r="F162" s="313">
        <v>800</v>
      </c>
      <c r="G162" s="313">
        <v>0</v>
      </c>
      <c r="H162" s="313">
        <v>0</v>
      </c>
    </row>
    <row r="163" spans="1:8" ht="20.100000000000001" customHeight="1">
      <c r="A163" s="64" t="s">
        <v>829</v>
      </c>
      <c r="B163" s="119">
        <v>94</v>
      </c>
      <c r="C163" s="119">
        <v>94</v>
      </c>
      <c r="D163" s="119"/>
      <c r="E163" s="313">
        <v>0</v>
      </c>
      <c r="F163" s="313">
        <v>0</v>
      </c>
      <c r="G163" s="313">
        <v>0</v>
      </c>
      <c r="H163" s="313">
        <v>0</v>
      </c>
    </row>
    <row r="164" spans="1:8" ht="20.100000000000001" customHeight="1">
      <c r="A164" s="64" t="s">
        <v>835</v>
      </c>
      <c r="B164" s="119">
        <v>219947</v>
      </c>
      <c r="C164" s="119">
        <v>166727</v>
      </c>
      <c r="D164" s="119">
        <f t="shared" ref="D164:H164" si="14">SUM(D165:D167)</f>
        <v>45786</v>
      </c>
      <c r="E164" s="119">
        <f t="shared" si="14"/>
        <v>7434</v>
      </c>
      <c r="F164" s="119">
        <f t="shared" si="14"/>
        <v>0</v>
      </c>
      <c r="G164" s="119">
        <f t="shared" si="14"/>
        <v>0</v>
      </c>
      <c r="H164" s="119">
        <f t="shared" si="14"/>
        <v>0</v>
      </c>
    </row>
    <row r="165" spans="1:8" ht="20.100000000000001" customHeight="1">
      <c r="A165" s="64" t="s">
        <v>836</v>
      </c>
      <c r="B165" s="119">
        <v>186732</v>
      </c>
      <c r="C165" s="119">
        <v>138662</v>
      </c>
      <c r="D165" s="119">
        <v>45786</v>
      </c>
      <c r="E165" s="313">
        <v>2284</v>
      </c>
      <c r="F165" s="313">
        <v>0</v>
      </c>
      <c r="G165" s="313">
        <v>0</v>
      </c>
      <c r="H165" s="313">
        <v>0</v>
      </c>
    </row>
    <row r="166" spans="1:8" ht="20.100000000000001" customHeight="1">
      <c r="A166" s="64" t="s">
        <v>842</v>
      </c>
      <c r="B166" s="119">
        <v>27713</v>
      </c>
      <c r="C166" s="119">
        <v>22563</v>
      </c>
      <c r="D166" s="119"/>
      <c r="E166" s="313">
        <v>5150</v>
      </c>
      <c r="F166" s="313">
        <v>0</v>
      </c>
      <c r="G166" s="313">
        <v>0</v>
      </c>
      <c r="H166" s="313">
        <v>0</v>
      </c>
    </row>
    <row r="167" spans="1:8" ht="20.100000000000001" customHeight="1">
      <c r="A167" s="64" t="s">
        <v>845</v>
      </c>
      <c r="B167" s="119">
        <v>5502</v>
      </c>
      <c r="C167" s="119">
        <v>5502</v>
      </c>
      <c r="D167" s="119"/>
      <c r="E167" s="313">
        <v>0</v>
      </c>
      <c r="F167" s="313">
        <v>0</v>
      </c>
      <c r="G167" s="313">
        <v>0</v>
      </c>
      <c r="H167" s="313">
        <v>0</v>
      </c>
    </row>
    <row r="168" spans="1:8" ht="20.100000000000001" customHeight="1">
      <c r="A168" s="64" t="s">
        <v>848</v>
      </c>
      <c r="B168" s="119">
        <v>4384</v>
      </c>
      <c r="C168" s="119">
        <v>3928</v>
      </c>
      <c r="D168" s="119">
        <f t="shared" ref="D168:H168" si="15">SUM(D169:D173)</f>
        <v>0</v>
      </c>
      <c r="E168" s="119">
        <f t="shared" si="15"/>
        <v>456</v>
      </c>
      <c r="F168" s="119">
        <f t="shared" si="15"/>
        <v>0</v>
      </c>
      <c r="G168" s="119">
        <f t="shared" si="15"/>
        <v>0</v>
      </c>
      <c r="H168" s="119">
        <f t="shared" si="15"/>
        <v>0</v>
      </c>
    </row>
    <row r="169" spans="1:8" ht="20.100000000000001" customHeight="1">
      <c r="A169" s="64" t="s">
        <v>849</v>
      </c>
      <c r="B169" s="119">
        <v>13</v>
      </c>
      <c r="C169" s="119">
        <v>13</v>
      </c>
      <c r="D169" s="119"/>
      <c r="E169" s="313">
        <v>0</v>
      </c>
      <c r="F169" s="313">
        <v>0</v>
      </c>
      <c r="G169" s="313">
        <v>0</v>
      </c>
      <c r="H169" s="313">
        <v>0</v>
      </c>
    </row>
    <row r="170" spans="1:8" ht="20.100000000000001" customHeight="1">
      <c r="A170" s="64" t="s">
        <v>852</v>
      </c>
      <c r="B170" s="119">
        <v>97</v>
      </c>
      <c r="C170" s="119">
        <v>97</v>
      </c>
      <c r="D170" s="119"/>
      <c r="E170" s="313">
        <v>0</v>
      </c>
      <c r="F170" s="313">
        <v>0</v>
      </c>
      <c r="G170" s="313">
        <v>0</v>
      </c>
      <c r="H170" s="313">
        <v>0</v>
      </c>
    </row>
    <row r="171" spans="1:8" ht="20.100000000000001" customHeight="1">
      <c r="A171" s="64" t="s">
        <v>862</v>
      </c>
      <c r="B171" s="119">
        <v>3905</v>
      </c>
      <c r="C171" s="119">
        <v>3526</v>
      </c>
      <c r="D171" s="119"/>
      <c r="E171" s="313">
        <v>379</v>
      </c>
      <c r="F171" s="313">
        <v>0</v>
      </c>
      <c r="G171" s="313">
        <v>0</v>
      </c>
      <c r="H171" s="313">
        <v>0</v>
      </c>
    </row>
    <row r="172" spans="1:8" ht="20.100000000000001" customHeight="1">
      <c r="A172" s="64" t="s">
        <v>868</v>
      </c>
      <c r="B172" s="119">
        <v>0</v>
      </c>
      <c r="C172" s="119">
        <v>0</v>
      </c>
      <c r="D172" s="119"/>
      <c r="E172" s="313">
        <v>0</v>
      </c>
      <c r="F172" s="313">
        <v>0</v>
      </c>
      <c r="G172" s="313">
        <v>0</v>
      </c>
      <c r="H172" s="313">
        <v>0</v>
      </c>
    </row>
    <row r="173" spans="1:8" ht="20.100000000000001" customHeight="1">
      <c r="A173" s="64" t="s">
        <v>871</v>
      </c>
      <c r="B173" s="119">
        <v>369</v>
      </c>
      <c r="C173" s="119">
        <v>292</v>
      </c>
      <c r="D173" s="119"/>
      <c r="E173" s="313">
        <v>77</v>
      </c>
      <c r="F173" s="313">
        <v>0</v>
      </c>
      <c r="G173" s="313">
        <v>0</v>
      </c>
      <c r="H173" s="313">
        <v>0</v>
      </c>
    </row>
    <row r="174" spans="1:8" ht="20.100000000000001" customHeight="1">
      <c r="A174" s="64" t="s">
        <v>874</v>
      </c>
      <c r="B174" s="119">
        <v>0</v>
      </c>
      <c r="C174" s="119">
        <v>0</v>
      </c>
      <c r="D174" s="119">
        <f t="shared" ref="D174" si="16">SUM(D175:D183)</f>
        <v>0</v>
      </c>
      <c r="E174" s="312">
        <v>0</v>
      </c>
      <c r="F174" s="312">
        <v>0</v>
      </c>
      <c r="G174" s="312">
        <v>0</v>
      </c>
      <c r="H174" s="312">
        <v>0</v>
      </c>
    </row>
    <row r="175" spans="1:8" ht="20.100000000000001" customHeight="1">
      <c r="A175" s="64" t="s">
        <v>875</v>
      </c>
      <c r="B175" s="119">
        <v>0</v>
      </c>
      <c r="C175" s="119">
        <v>0</v>
      </c>
      <c r="D175" s="119"/>
      <c r="E175" s="313">
        <v>0</v>
      </c>
      <c r="F175" s="313">
        <v>0</v>
      </c>
      <c r="G175" s="313">
        <v>0</v>
      </c>
      <c r="H175" s="313">
        <v>0</v>
      </c>
    </row>
    <row r="176" spans="1:8" ht="20.100000000000001" customHeight="1">
      <c r="A176" s="64" t="s">
        <v>876</v>
      </c>
      <c r="B176" s="119">
        <v>0</v>
      </c>
      <c r="C176" s="119">
        <v>0</v>
      </c>
      <c r="D176" s="119"/>
      <c r="E176" s="313">
        <v>0</v>
      </c>
      <c r="F176" s="313">
        <v>0</v>
      </c>
      <c r="G176" s="313">
        <v>0</v>
      </c>
      <c r="H176" s="313">
        <v>0</v>
      </c>
    </row>
    <row r="177" spans="1:8" ht="20.100000000000001" customHeight="1">
      <c r="A177" s="64" t="s">
        <v>877</v>
      </c>
      <c r="B177" s="119">
        <v>0</v>
      </c>
      <c r="C177" s="119">
        <v>0</v>
      </c>
      <c r="D177" s="119"/>
      <c r="E177" s="313">
        <v>0</v>
      </c>
      <c r="F177" s="313">
        <v>0</v>
      </c>
      <c r="G177" s="313">
        <v>0</v>
      </c>
      <c r="H177" s="313">
        <v>0</v>
      </c>
    </row>
    <row r="178" spans="1:8" ht="20.100000000000001" customHeight="1">
      <c r="A178" s="64" t="s">
        <v>878</v>
      </c>
      <c r="B178" s="119">
        <v>0</v>
      </c>
      <c r="C178" s="119">
        <v>0</v>
      </c>
      <c r="D178" s="119"/>
      <c r="E178" s="313">
        <v>0</v>
      </c>
      <c r="F178" s="313">
        <v>0</v>
      </c>
      <c r="G178" s="313">
        <v>0</v>
      </c>
      <c r="H178" s="313">
        <v>0</v>
      </c>
    </row>
    <row r="179" spans="1:8" ht="20.100000000000001" customHeight="1">
      <c r="A179" s="64" t="s">
        <v>879</v>
      </c>
      <c r="B179" s="119">
        <v>0</v>
      </c>
      <c r="C179" s="119">
        <v>0</v>
      </c>
      <c r="D179" s="119"/>
      <c r="E179" s="313">
        <v>0</v>
      </c>
      <c r="F179" s="313">
        <v>0</v>
      </c>
      <c r="G179" s="313">
        <v>0</v>
      </c>
      <c r="H179" s="313">
        <v>0</v>
      </c>
    </row>
    <row r="180" spans="1:8" ht="20.100000000000001" customHeight="1">
      <c r="A180" s="64" t="s">
        <v>880</v>
      </c>
      <c r="B180" s="119">
        <v>0</v>
      </c>
      <c r="C180" s="119">
        <v>0</v>
      </c>
      <c r="D180" s="119"/>
      <c r="E180" s="313">
        <v>0</v>
      </c>
      <c r="F180" s="313">
        <v>0</v>
      </c>
      <c r="G180" s="313">
        <v>0</v>
      </c>
      <c r="H180" s="313">
        <v>0</v>
      </c>
    </row>
    <row r="181" spans="1:8" ht="20.100000000000001" customHeight="1">
      <c r="A181" s="64" t="s">
        <v>881</v>
      </c>
      <c r="B181" s="119">
        <v>0</v>
      </c>
      <c r="C181" s="119">
        <v>0</v>
      </c>
      <c r="D181" s="119"/>
      <c r="E181" s="313">
        <v>0</v>
      </c>
      <c r="F181" s="313">
        <v>0</v>
      </c>
      <c r="G181" s="313">
        <v>0</v>
      </c>
      <c r="H181" s="313">
        <v>0</v>
      </c>
    </row>
    <row r="182" spans="1:8" ht="20.100000000000001" customHeight="1">
      <c r="A182" s="64" t="s">
        <v>882</v>
      </c>
      <c r="B182" s="119">
        <v>0</v>
      </c>
      <c r="C182" s="119">
        <v>0</v>
      </c>
      <c r="D182" s="119"/>
      <c r="E182" s="313">
        <v>0</v>
      </c>
      <c r="F182" s="313">
        <v>0</v>
      </c>
      <c r="G182" s="313">
        <v>0</v>
      </c>
      <c r="H182" s="313">
        <v>0</v>
      </c>
    </row>
    <row r="183" spans="1:8" ht="20.100000000000001" customHeight="1">
      <c r="A183" s="64" t="s">
        <v>883</v>
      </c>
      <c r="B183" s="119">
        <v>0</v>
      </c>
      <c r="C183" s="119">
        <v>0</v>
      </c>
      <c r="D183" s="119"/>
      <c r="E183" s="313">
        <v>0</v>
      </c>
      <c r="F183" s="313">
        <v>0</v>
      </c>
      <c r="G183" s="313">
        <v>0</v>
      </c>
      <c r="H183" s="313">
        <v>0</v>
      </c>
    </row>
    <row r="184" spans="1:8" ht="20.100000000000001" customHeight="1">
      <c r="A184" s="64" t="s">
        <v>884</v>
      </c>
      <c r="B184" s="119">
        <v>249453</v>
      </c>
      <c r="C184" s="119">
        <v>214827</v>
      </c>
      <c r="D184" s="119">
        <f t="shared" ref="D184:H184" si="17">SUM(D185:D187)</f>
        <v>27580</v>
      </c>
      <c r="E184" s="119">
        <f t="shared" si="17"/>
        <v>7024</v>
      </c>
      <c r="F184" s="119">
        <f t="shared" si="17"/>
        <v>22</v>
      </c>
      <c r="G184" s="119">
        <f t="shared" si="17"/>
        <v>0</v>
      </c>
      <c r="H184" s="119">
        <f t="shared" si="17"/>
        <v>0</v>
      </c>
    </row>
    <row r="185" spans="1:8" ht="20.100000000000001" customHeight="1">
      <c r="A185" s="64" t="s">
        <v>885</v>
      </c>
      <c r="B185" s="119">
        <v>212218</v>
      </c>
      <c r="C185" s="119">
        <v>182103</v>
      </c>
      <c r="D185" s="119">
        <v>27580</v>
      </c>
      <c r="E185" s="313">
        <v>2513</v>
      </c>
      <c r="F185" s="313">
        <v>22</v>
      </c>
      <c r="G185" s="313">
        <v>0</v>
      </c>
      <c r="H185" s="313">
        <v>0</v>
      </c>
    </row>
    <row r="186" spans="1:8" ht="20.100000000000001" customHeight="1">
      <c r="A186" s="64" t="s">
        <v>908</v>
      </c>
      <c r="B186" s="119">
        <v>11992</v>
      </c>
      <c r="C186" s="119">
        <v>11992</v>
      </c>
      <c r="D186" s="119"/>
      <c r="E186" s="313">
        <v>0</v>
      </c>
      <c r="F186" s="313">
        <v>0</v>
      </c>
      <c r="G186" s="313">
        <v>0</v>
      </c>
      <c r="H186" s="313">
        <v>0</v>
      </c>
    </row>
    <row r="187" spans="1:8" ht="20.100000000000001" customHeight="1">
      <c r="A187" s="64" t="s">
        <v>920</v>
      </c>
      <c r="B187" s="119">
        <v>25243</v>
      </c>
      <c r="C187" s="119">
        <v>20732</v>
      </c>
      <c r="D187" s="119"/>
      <c r="E187" s="313">
        <v>4511</v>
      </c>
      <c r="F187" s="313">
        <v>0</v>
      </c>
      <c r="G187" s="313">
        <v>0</v>
      </c>
      <c r="H187" s="313">
        <v>0</v>
      </c>
    </row>
    <row r="188" spans="1:8" ht="20.100000000000001" customHeight="1">
      <c r="A188" s="64" t="s">
        <v>921</v>
      </c>
      <c r="B188" s="119">
        <v>905761</v>
      </c>
      <c r="C188" s="119">
        <v>805167</v>
      </c>
      <c r="D188" s="119">
        <f t="shared" ref="D188:H188" si="18">SUM(D189:D191)</f>
        <v>0</v>
      </c>
      <c r="E188" s="119">
        <f t="shared" si="18"/>
        <v>57287</v>
      </c>
      <c r="F188" s="119">
        <f t="shared" si="18"/>
        <v>43307</v>
      </c>
      <c r="G188" s="119">
        <f t="shared" si="18"/>
        <v>0</v>
      </c>
      <c r="H188" s="119">
        <f t="shared" si="18"/>
        <v>0</v>
      </c>
    </row>
    <row r="189" spans="1:8" ht="20.100000000000001" customHeight="1">
      <c r="A189" s="64" t="s">
        <v>922</v>
      </c>
      <c r="B189" s="119">
        <v>484100</v>
      </c>
      <c r="C189" s="119">
        <v>426020</v>
      </c>
      <c r="D189" s="119"/>
      <c r="E189" s="313">
        <v>43080</v>
      </c>
      <c r="F189" s="313">
        <v>15000</v>
      </c>
      <c r="G189" s="313">
        <v>0</v>
      </c>
      <c r="H189" s="313">
        <v>0</v>
      </c>
    </row>
    <row r="190" spans="1:8" ht="20.100000000000001" customHeight="1">
      <c r="A190" s="64" t="s">
        <v>933</v>
      </c>
      <c r="B190" s="119">
        <v>402095</v>
      </c>
      <c r="C190" s="119">
        <v>359581</v>
      </c>
      <c r="D190" s="119"/>
      <c r="E190" s="313">
        <v>14207</v>
      </c>
      <c r="F190" s="313">
        <v>28307</v>
      </c>
      <c r="G190" s="313">
        <v>0</v>
      </c>
      <c r="H190" s="313">
        <v>0</v>
      </c>
    </row>
    <row r="191" spans="1:8" ht="20.100000000000001" customHeight="1">
      <c r="A191" s="64" t="s">
        <v>937</v>
      </c>
      <c r="B191" s="119">
        <v>19566</v>
      </c>
      <c r="C191" s="119">
        <v>19566</v>
      </c>
      <c r="D191" s="119"/>
      <c r="E191" s="313">
        <v>0</v>
      </c>
      <c r="F191" s="313">
        <v>0</v>
      </c>
      <c r="G191" s="313">
        <v>0</v>
      </c>
      <c r="H191" s="313">
        <v>0</v>
      </c>
    </row>
    <row r="192" spans="1:8" ht="20.100000000000001" customHeight="1">
      <c r="A192" s="64" t="s">
        <v>941</v>
      </c>
      <c r="B192" s="119">
        <v>119557</v>
      </c>
      <c r="C192" s="119">
        <v>119182</v>
      </c>
      <c r="D192" s="119">
        <f t="shared" ref="D192:G192" si="19">SUM(D193:D196)</f>
        <v>0</v>
      </c>
      <c r="E192" s="119">
        <f t="shared" si="19"/>
        <v>375</v>
      </c>
      <c r="F192" s="119">
        <f t="shared" si="19"/>
        <v>0</v>
      </c>
      <c r="G192" s="119">
        <f t="shared" si="19"/>
        <v>0</v>
      </c>
      <c r="H192" s="312">
        <v>0</v>
      </c>
    </row>
    <row r="193" spans="1:8" ht="20.100000000000001" customHeight="1">
      <c r="A193" s="64" t="s">
        <v>942</v>
      </c>
      <c r="B193" s="119">
        <v>105098</v>
      </c>
      <c r="C193" s="119">
        <v>104742</v>
      </c>
      <c r="D193" s="119"/>
      <c r="E193" s="313">
        <v>356</v>
      </c>
      <c r="F193" s="313">
        <v>0</v>
      </c>
      <c r="G193" s="313">
        <v>0</v>
      </c>
      <c r="H193" s="313">
        <v>0</v>
      </c>
    </row>
    <row r="194" spans="1:8" ht="20.100000000000001" customHeight="1">
      <c r="A194" s="64" t="s">
        <v>956</v>
      </c>
      <c r="B194" s="119">
        <v>3579</v>
      </c>
      <c r="C194" s="119">
        <v>3579</v>
      </c>
      <c r="D194" s="119"/>
      <c r="E194" s="313">
        <v>0</v>
      </c>
      <c r="F194" s="313">
        <v>0</v>
      </c>
      <c r="G194" s="313">
        <v>0</v>
      </c>
      <c r="H194" s="313">
        <v>0</v>
      </c>
    </row>
    <row r="195" spans="1:8" ht="20.100000000000001" customHeight="1">
      <c r="A195" s="64" t="s">
        <v>962</v>
      </c>
      <c r="B195" s="119">
        <v>4642</v>
      </c>
      <c r="C195" s="119">
        <v>4627</v>
      </c>
      <c r="D195" s="119"/>
      <c r="E195" s="313">
        <v>15</v>
      </c>
      <c r="F195" s="313">
        <v>0</v>
      </c>
      <c r="G195" s="313">
        <v>0</v>
      </c>
      <c r="H195" s="313">
        <v>0</v>
      </c>
    </row>
    <row r="196" spans="1:8" ht="20.100000000000001" customHeight="1">
      <c r="A196" s="64" t="s">
        <v>968</v>
      </c>
      <c r="B196" s="119">
        <v>6238</v>
      </c>
      <c r="C196" s="119">
        <v>6234</v>
      </c>
      <c r="D196" s="119"/>
      <c r="E196" s="313">
        <v>4</v>
      </c>
      <c r="F196" s="313">
        <v>0</v>
      </c>
      <c r="G196" s="313">
        <v>0</v>
      </c>
      <c r="H196" s="313">
        <v>0</v>
      </c>
    </row>
    <row r="197" spans="1:8" ht="20.100000000000001" customHeight="1">
      <c r="A197" s="64" t="s">
        <v>981</v>
      </c>
      <c r="B197" s="119">
        <v>166239</v>
      </c>
      <c r="C197" s="119">
        <v>105275</v>
      </c>
      <c r="D197" s="119">
        <f t="shared" ref="D197:H197" si="20">SUM(D198:D205)</f>
        <v>13490</v>
      </c>
      <c r="E197" s="119">
        <f t="shared" si="20"/>
        <v>47232</v>
      </c>
      <c r="F197" s="119">
        <f t="shared" si="20"/>
        <v>242</v>
      </c>
      <c r="G197" s="119">
        <f t="shared" si="20"/>
        <v>0</v>
      </c>
      <c r="H197" s="119">
        <f t="shared" si="20"/>
        <v>0</v>
      </c>
    </row>
    <row r="198" spans="1:8" ht="20.100000000000001" customHeight="1">
      <c r="A198" s="64" t="s">
        <v>982</v>
      </c>
      <c r="B198" s="119">
        <v>82030</v>
      </c>
      <c r="C198" s="119">
        <v>45979</v>
      </c>
      <c r="D198" s="119">
        <v>13490</v>
      </c>
      <c r="E198" s="313">
        <v>22461</v>
      </c>
      <c r="F198" s="313">
        <v>100</v>
      </c>
      <c r="G198" s="313">
        <v>0</v>
      </c>
      <c r="H198" s="313">
        <v>0</v>
      </c>
    </row>
    <row r="199" spans="1:8" ht="20.100000000000001" customHeight="1">
      <c r="A199" s="64" t="s">
        <v>990</v>
      </c>
      <c r="B199" s="119">
        <v>50118</v>
      </c>
      <c r="C199" s="119">
        <v>35383</v>
      </c>
      <c r="D199" s="119"/>
      <c r="E199" s="313">
        <v>14593</v>
      </c>
      <c r="F199" s="313">
        <v>142</v>
      </c>
      <c r="G199" s="313">
        <v>0</v>
      </c>
      <c r="H199" s="313">
        <v>0</v>
      </c>
    </row>
    <row r="200" spans="1:8" ht="20.100000000000001" customHeight="1">
      <c r="A200" s="64" t="s">
        <v>993</v>
      </c>
      <c r="B200" s="119">
        <v>5290</v>
      </c>
      <c r="C200" s="119">
        <v>5290</v>
      </c>
      <c r="D200" s="119"/>
      <c r="E200" s="313">
        <v>0</v>
      </c>
      <c r="F200" s="313">
        <v>0</v>
      </c>
      <c r="G200" s="313">
        <v>0</v>
      </c>
      <c r="H200" s="313">
        <v>0</v>
      </c>
    </row>
    <row r="201" spans="1:8" ht="20.100000000000001" customHeight="1">
      <c r="A201" s="64" t="s">
        <v>996</v>
      </c>
      <c r="B201" s="119">
        <v>2432</v>
      </c>
      <c r="C201" s="119">
        <v>1532</v>
      </c>
      <c r="D201" s="119"/>
      <c r="E201" s="313">
        <v>900</v>
      </c>
      <c r="F201" s="313">
        <v>0</v>
      </c>
      <c r="G201" s="313">
        <v>0</v>
      </c>
      <c r="H201" s="313">
        <v>0</v>
      </c>
    </row>
    <row r="202" spans="1:8" ht="20.100000000000001" customHeight="1">
      <c r="A202" s="64" t="s">
        <v>1000</v>
      </c>
      <c r="B202" s="119">
        <v>3912</v>
      </c>
      <c r="C202" s="119">
        <v>3910</v>
      </c>
      <c r="D202" s="119"/>
      <c r="E202" s="313">
        <v>2</v>
      </c>
      <c r="F202" s="313">
        <v>0</v>
      </c>
      <c r="G202" s="313">
        <v>0</v>
      </c>
      <c r="H202" s="313">
        <v>0</v>
      </c>
    </row>
    <row r="203" spans="1:8" ht="20.100000000000001" customHeight="1">
      <c r="A203" s="64" t="s">
        <v>1010</v>
      </c>
      <c r="B203" s="119">
        <v>6924</v>
      </c>
      <c r="C203" s="119">
        <v>5260</v>
      </c>
      <c r="D203" s="119"/>
      <c r="E203" s="313">
        <v>1664</v>
      </c>
      <c r="F203" s="313">
        <v>0</v>
      </c>
      <c r="G203" s="313">
        <v>0</v>
      </c>
      <c r="H203" s="313">
        <v>0</v>
      </c>
    </row>
    <row r="204" spans="1:8" ht="20.100000000000001" customHeight="1">
      <c r="A204" s="64" t="s">
        <v>1014</v>
      </c>
      <c r="B204" s="119">
        <v>4084</v>
      </c>
      <c r="C204" s="119">
        <v>46</v>
      </c>
      <c r="D204" s="119"/>
      <c r="E204" s="313">
        <v>4038</v>
      </c>
      <c r="F204" s="313">
        <v>0</v>
      </c>
      <c r="G204" s="313">
        <v>0</v>
      </c>
      <c r="H204" s="313">
        <v>0</v>
      </c>
    </row>
    <row r="205" spans="1:8" ht="20.100000000000001" customHeight="1">
      <c r="A205" s="64" t="s">
        <v>1018</v>
      </c>
      <c r="B205" s="119">
        <v>11449</v>
      </c>
      <c r="C205" s="119">
        <v>7875</v>
      </c>
      <c r="D205" s="119"/>
      <c r="E205" s="313">
        <v>3574</v>
      </c>
      <c r="F205" s="313">
        <v>0</v>
      </c>
      <c r="G205" s="313">
        <v>0</v>
      </c>
      <c r="H205" s="313">
        <v>0</v>
      </c>
    </row>
    <row r="206" spans="1:8" ht="20.100000000000001" customHeight="1">
      <c r="A206" s="63" t="s">
        <v>1135</v>
      </c>
      <c r="B206" s="119">
        <v>464000</v>
      </c>
      <c r="C206" s="119">
        <v>459800</v>
      </c>
      <c r="D206" s="119"/>
      <c r="E206" s="313">
        <v>0</v>
      </c>
      <c r="F206" s="313">
        <v>4200</v>
      </c>
      <c r="G206" s="313">
        <v>0</v>
      </c>
      <c r="H206" s="313">
        <v>0</v>
      </c>
    </row>
    <row r="207" spans="1:8" ht="20.100000000000001" customHeight="1">
      <c r="A207" s="63" t="s">
        <v>1136</v>
      </c>
      <c r="B207" s="119">
        <v>1604226</v>
      </c>
      <c r="C207" s="119">
        <v>1441427</v>
      </c>
      <c r="D207" s="119">
        <f t="shared" ref="D207:H207" si="21">SUM(D208)</f>
        <v>0</v>
      </c>
      <c r="E207" s="119">
        <f t="shared" si="21"/>
        <v>6096</v>
      </c>
      <c r="F207" s="119">
        <f t="shared" si="21"/>
        <v>156703</v>
      </c>
      <c r="G207" s="119">
        <f t="shared" si="21"/>
        <v>0</v>
      </c>
      <c r="H207" s="119">
        <f t="shared" si="21"/>
        <v>0</v>
      </c>
    </row>
    <row r="208" spans="1:8" ht="20.100000000000001" customHeight="1">
      <c r="A208" s="63" t="s">
        <v>1137</v>
      </c>
      <c r="B208" s="119">
        <v>1604226</v>
      </c>
      <c r="C208" s="119">
        <v>1441427</v>
      </c>
      <c r="D208" s="119"/>
      <c r="E208" s="313">
        <v>6096</v>
      </c>
      <c r="F208" s="313">
        <v>156703</v>
      </c>
      <c r="G208" s="313">
        <v>0</v>
      </c>
      <c r="H208" s="313">
        <v>0</v>
      </c>
    </row>
    <row r="209" spans="1:8" ht="20.100000000000001" customHeight="1">
      <c r="A209" s="63" t="s">
        <v>1138</v>
      </c>
      <c r="B209" s="119">
        <v>3406</v>
      </c>
      <c r="C209" s="119">
        <v>3406</v>
      </c>
      <c r="D209" s="119"/>
      <c r="E209" s="119"/>
      <c r="F209" s="119"/>
      <c r="G209" s="119"/>
      <c r="H209" s="119"/>
    </row>
    <row r="210" spans="1:8" ht="20.100000000000001" customHeight="1">
      <c r="A210" s="63" t="s">
        <v>1139</v>
      </c>
      <c r="B210" s="119">
        <v>1488162</v>
      </c>
      <c r="C210" s="119">
        <v>1447710</v>
      </c>
      <c r="D210" s="119">
        <f t="shared" ref="D210:H210" si="22">SUM(D211:D212)</f>
        <v>0</v>
      </c>
      <c r="E210" s="119">
        <f t="shared" si="22"/>
        <v>12705</v>
      </c>
      <c r="F210" s="119">
        <f t="shared" si="22"/>
        <v>27747</v>
      </c>
      <c r="G210" s="119">
        <f t="shared" si="22"/>
        <v>0</v>
      </c>
      <c r="H210" s="119">
        <f t="shared" si="22"/>
        <v>0</v>
      </c>
    </row>
    <row r="211" spans="1:8" ht="20.100000000000001" customHeight="1">
      <c r="A211" s="63" t="s">
        <v>1140</v>
      </c>
      <c r="B211" s="119">
        <v>413338</v>
      </c>
      <c r="C211" s="119">
        <v>408338</v>
      </c>
      <c r="D211" s="119"/>
      <c r="E211" s="313">
        <v>0</v>
      </c>
      <c r="F211" s="313">
        <v>5000</v>
      </c>
      <c r="G211" s="313">
        <v>0</v>
      </c>
      <c r="H211" s="313">
        <v>0</v>
      </c>
    </row>
    <row r="212" spans="1:8" ht="20.100000000000001" customHeight="1">
      <c r="A212" s="63" t="s">
        <v>1141</v>
      </c>
      <c r="B212" s="119">
        <v>1074824</v>
      </c>
      <c r="C212" s="119">
        <v>1039372</v>
      </c>
      <c r="D212" s="119"/>
      <c r="E212" s="313">
        <v>12705</v>
      </c>
      <c r="F212" s="313">
        <v>22747</v>
      </c>
      <c r="G212" s="313">
        <v>0</v>
      </c>
      <c r="H212" s="313">
        <v>0</v>
      </c>
    </row>
    <row r="213" spans="1:8" ht="20.100000000000001" customHeight="1">
      <c r="A213" s="63"/>
      <c r="B213" s="119"/>
      <c r="C213" s="119">
        <v>0</v>
      </c>
      <c r="D213" s="119"/>
      <c r="E213" s="313"/>
      <c r="F213" s="313">
        <v>0</v>
      </c>
      <c r="G213" s="313">
        <v>0</v>
      </c>
      <c r="H213" s="313">
        <v>0</v>
      </c>
    </row>
    <row r="214" spans="1:8" ht="20.100000000000001" customHeight="1">
      <c r="A214" s="63"/>
      <c r="B214" s="119"/>
      <c r="C214" s="119">
        <v>0</v>
      </c>
      <c r="D214" s="119"/>
      <c r="E214" s="313"/>
      <c r="F214" s="313">
        <v>0</v>
      </c>
      <c r="G214" s="313">
        <v>0</v>
      </c>
      <c r="H214" s="313">
        <v>0</v>
      </c>
    </row>
    <row r="215" spans="1:8" ht="20.100000000000001" customHeight="1">
      <c r="A215" s="63"/>
      <c r="B215" s="119"/>
      <c r="C215" s="119">
        <v>0</v>
      </c>
      <c r="D215" s="119"/>
      <c r="E215" s="313"/>
      <c r="F215" s="313">
        <v>0</v>
      </c>
      <c r="G215" s="313">
        <v>0</v>
      </c>
      <c r="H215" s="313">
        <v>0</v>
      </c>
    </row>
    <row r="216" spans="1:8" ht="20.100000000000001" customHeight="1">
      <c r="A216" s="63"/>
      <c r="B216" s="119"/>
      <c r="C216" s="119">
        <v>0</v>
      </c>
      <c r="D216" s="119"/>
      <c r="E216" s="313"/>
      <c r="F216" s="313">
        <v>0</v>
      </c>
      <c r="G216" s="313">
        <v>0</v>
      </c>
      <c r="H216" s="313">
        <v>0</v>
      </c>
    </row>
    <row r="217" spans="1:8" ht="20.100000000000001" customHeight="1">
      <c r="A217" s="7"/>
      <c r="B217" s="119"/>
      <c r="C217" s="119">
        <v>0</v>
      </c>
      <c r="D217" s="119"/>
      <c r="E217" s="313"/>
      <c r="F217" s="313">
        <v>0</v>
      </c>
      <c r="G217" s="313">
        <v>0</v>
      </c>
      <c r="H217" s="313">
        <v>0</v>
      </c>
    </row>
    <row r="218" spans="1:8" ht="20.100000000000001" customHeight="1">
      <c r="A218" s="7"/>
      <c r="B218" s="119"/>
      <c r="C218" s="119">
        <v>0</v>
      </c>
      <c r="D218" s="119"/>
      <c r="E218" s="313"/>
      <c r="F218" s="313">
        <v>0</v>
      </c>
      <c r="G218" s="313">
        <v>0</v>
      </c>
      <c r="H218" s="313">
        <v>0</v>
      </c>
    </row>
    <row r="219" spans="1:8" ht="20.100000000000001" customHeight="1">
      <c r="A219" s="7"/>
      <c r="B219" s="119"/>
      <c r="C219" s="119">
        <v>0</v>
      </c>
      <c r="D219" s="119"/>
      <c r="E219" s="313"/>
      <c r="F219" s="313">
        <v>0</v>
      </c>
      <c r="G219" s="313">
        <v>0</v>
      </c>
      <c r="H219" s="313">
        <v>0</v>
      </c>
    </row>
    <row r="220" spans="1:8" ht="20.100000000000001" customHeight="1">
      <c r="A220" s="7"/>
      <c r="B220" s="119"/>
      <c r="C220" s="119">
        <v>0</v>
      </c>
      <c r="D220" s="119"/>
      <c r="E220" s="313">
        <v>0</v>
      </c>
      <c r="F220" s="313">
        <v>0</v>
      </c>
      <c r="G220" s="313">
        <v>0</v>
      </c>
      <c r="H220" s="313">
        <v>0</v>
      </c>
    </row>
    <row r="221" spans="1:8" ht="20.100000000000001" customHeight="1">
      <c r="A221" s="7"/>
      <c r="B221" s="119">
        <f>SUM(B6,B33,B36,B39,B51,B62,B73,B80,B102,B116,B132,B139,B148,B156,B164,B168,B174,B184,B188,B192,B197,B206,B207,B209,B210)</f>
        <v>44449209</v>
      </c>
      <c r="C221" s="119">
        <f t="shared" ref="C221:H221" si="23">SUM(C6,C33,C36,C39,C51,C62,C73,C80,C102,C116,C132,C139,C148,C156,C164,C168,C174,C184,C188,C192,C197,C206,C207,C209,C210)</f>
        <v>39142915</v>
      </c>
      <c r="D221" s="119">
        <f t="shared" si="23"/>
        <v>660201</v>
      </c>
      <c r="E221" s="119">
        <f t="shared" si="23"/>
        <v>2054483</v>
      </c>
      <c r="F221" s="119">
        <f t="shared" si="23"/>
        <v>2061610</v>
      </c>
      <c r="G221" s="119">
        <f t="shared" si="23"/>
        <v>530000</v>
      </c>
      <c r="H221" s="119">
        <f t="shared" si="23"/>
        <v>0</v>
      </c>
    </row>
    <row r="223" spans="1:8">
      <c r="E223" s="117"/>
      <c r="F223" s="117"/>
    </row>
  </sheetData>
  <mergeCells count="9">
    <mergeCell ref="A2:H2"/>
    <mergeCell ref="A4:A5"/>
    <mergeCell ref="B4:B5"/>
    <mergeCell ref="C4:C5"/>
    <mergeCell ref="D4:D5"/>
    <mergeCell ref="E4:E5"/>
    <mergeCell ref="F4:F5"/>
    <mergeCell ref="G4:G5"/>
    <mergeCell ref="H4:H5"/>
  </mergeCells>
  <phoneticPr fontId="14" type="noConversion"/>
  <printOptions horizontalCentered="1"/>
  <pageMargins left="0.47244094488188998" right="0.47244094488188998" top="0.47244094488188998" bottom="0.35433070866141703" header="0.118110236220472" footer="0.118110236220472"/>
  <pageSetup paperSize="9" scale="80" orientation="landscape" r:id="rId1"/>
  <ignoredErrors>
    <ignoredError sqref="E168" formulaRange="1"/>
  </ignoredErrors>
</worksheet>
</file>

<file path=xl/worksheets/sheet7.xml><?xml version="1.0" encoding="utf-8"?>
<worksheet xmlns="http://schemas.openxmlformats.org/spreadsheetml/2006/main" xmlns:r="http://schemas.openxmlformats.org/officeDocument/2006/relationships">
  <dimension ref="A1:Q41"/>
  <sheetViews>
    <sheetView showGridLines="0" showZeros="0" tabSelected="1" workbookViewId="0">
      <pane xSplit="1" ySplit="4" topLeftCell="D5" activePane="bottomRight" state="frozen"/>
      <selection pane="topRight"/>
      <selection pane="bottomLeft"/>
      <selection pane="bottomRight" activeCell="K41" sqref="K41"/>
    </sheetView>
  </sheetViews>
  <sheetFormatPr defaultColWidth="9" defaultRowHeight="13.5"/>
  <cols>
    <col min="1" max="1" width="35.5" style="25" customWidth="1"/>
    <col min="2" max="2" width="14.5" style="25" bestFit="1" customWidth="1"/>
    <col min="3" max="7" width="11.75" style="25" bestFit="1" customWidth="1"/>
    <col min="8" max="10" width="9.625" style="25" bestFit="1" customWidth="1"/>
    <col min="11" max="11" width="11.75" style="25" bestFit="1" customWidth="1"/>
    <col min="12" max="12" width="11.625" style="25" bestFit="1" customWidth="1"/>
    <col min="13" max="14" width="11.75" style="25" bestFit="1" customWidth="1"/>
    <col min="15" max="15" width="11.625" style="25" bestFit="1" customWidth="1"/>
    <col min="16" max="16" width="9.625" style="25" bestFit="1" customWidth="1"/>
    <col min="17" max="17" width="11.75" style="25" bestFit="1" customWidth="1"/>
    <col min="18" max="16384" width="9" style="25"/>
  </cols>
  <sheetData>
    <row r="1" spans="1:17" ht="14.25">
      <c r="A1" s="26" t="s">
        <v>1142</v>
      </c>
    </row>
    <row r="2" spans="1:17" s="50" customFormat="1" ht="21" customHeight="1">
      <c r="A2" s="353" t="s">
        <v>1143</v>
      </c>
      <c r="B2" s="353"/>
      <c r="C2" s="353"/>
      <c r="D2" s="353"/>
      <c r="E2" s="353"/>
      <c r="F2" s="353"/>
      <c r="G2" s="353"/>
      <c r="H2" s="353"/>
      <c r="I2" s="353"/>
      <c r="J2" s="353"/>
      <c r="K2" s="353"/>
      <c r="L2" s="353"/>
      <c r="M2" s="353"/>
      <c r="N2" s="353"/>
      <c r="O2" s="353"/>
      <c r="P2" s="353"/>
      <c r="Q2" s="353"/>
    </row>
    <row r="3" spans="1:17" s="31" customFormat="1" ht="20.25" customHeight="1">
      <c r="C3" s="52"/>
      <c r="D3" s="52"/>
      <c r="E3" s="52"/>
      <c r="F3" s="52"/>
      <c r="G3" s="52"/>
      <c r="H3" s="52"/>
      <c r="Q3" s="58" t="s">
        <v>1144</v>
      </c>
    </row>
    <row r="4" spans="1:17" s="51" customFormat="1" ht="69.75" customHeight="1">
      <c r="A4" s="53" t="s">
        <v>23</v>
      </c>
      <c r="B4" s="123" t="s">
        <v>1145</v>
      </c>
      <c r="C4" s="54" t="s">
        <v>1146</v>
      </c>
      <c r="D4" s="54" t="s">
        <v>1147</v>
      </c>
      <c r="E4" s="54" t="s">
        <v>1148</v>
      </c>
      <c r="F4" s="54" t="s">
        <v>1149</v>
      </c>
      <c r="G4" s="54" t="s">
        <v>1150</v>
      </c>
      <c r="H4" s="54" t="s">
        <v>1151</v>
      </c>
      <c r="I4" s="54" t="s">
        <v>1152</v>
      </c>
      <c r="J4" s="54" t="s">
        <v>1153</v>
      </c>
      <c r="K4" s="54" t="s">
        <v>1154</v>
      </c>
      <c r="L4" s="54" t="s">
        <v>1155</v>
      </c>
      <c r="M4" s="54" t="s">
        <v>1156</v>
      </c>
      <c r="N4" s="54" t="s">
        <v>1157</v>
      </c>
      <c r="O4" s="54" t="s">
        <v>1038</v>
      </c>
      <c r="P4" s="54" t="s">
        <v>1158</v>
      </c>
      <c r="Q4" s="54" t="s">
        <v>1159</v>
      </c>
    </row>
    <row r="5" spans="1:17" s="31" customFormat="1" ht="20.100000000000001" customHeight="1">
      <c r="A5" s="33" t="s">
        <v>1160</v>
      </c>
      <c r="B5" s="124">
        <v>4085493</v>
      </c>
      <c r="C5" s="121">
        <v>2174059</v>
      </c>
      <c r="D5" s="121">
        <v>795814</v>
      </c>
      <c r="E5" s="121">
        <v>106870</v>
      </c>
      <c r="F5" s="121">
        <v>74482</v>
      </c>
      <c r="G5" s="121">
        <v>307689</v>
      </c>
      <c r="H5" s="121">
        <v>9236</v>
      </c>
      <c r="I5" s="121">
        <v>19752</v>
      </c>
      <c r="J5" s="121">
        <v>0</v>
      </c>
      <c r="K5" s="121">
        <v>562848</v>
      </c>
      <c r="L5" s="121">
        <v>0</v>
      </c>
      <c r="M5" s="121"/>
      <c r="N5" s="121"/>
      <c r="O5" s="121"/>
      <c r="P5" s="121">
        <v>0</v>
      </c>
      <c r="Q5" s="121">
        <v>34743</v>
      </c>
    </row>
    <row r="6" spans="1:17" s="31" customFormat="1" ht="20.100000000000001" customHeight="1">
      <c r="A6" s="33" t="s">
        <v>186</v>
      </c>
      <c r="B6" s="124">
        <v>420</v>
      </c>
      <c r="C6" s="121">
        <v>0</v>
      </c>
      <c r="D6" s="121">
        <v>0</v>
      </c>
      <c r="E6" s="121">
        <v>0</v>
      </c>
      <c r="F6" s="121">
        <v>0</v>
      </c>
      <c r="G6" s="121">
        <v>0</v>
      </c>
      <c r="H6" s="121">
        <v>0</v>
      </c>
      <c r="I6" s="121">
        <v>0</v>
      </c>
      <c r="J6" s="121">
        <v>0</v>
      </c>
      <c r="K6" s="121"/>
      <c r="L6" s="121">
        <v>0</v>
      </c>
      <c r="M6" s="121"/>
      <c r="N6" s="121"/>
      <c r="O6" s="121"/>
      <c r="P6" s="121">
        <v>0</v>
      </c>
      <c r="Q6" s="121">
        <v>420</v>
      </c>
    </row>
    <row r="7" spans="1:17" s="31" customFormat="1" ht="20.100000000000001" customHeight="1">
      <c r="A7" s="33" t="s">
        <v>190</v>
      </c>
      <c r="B7" s="124">
        <v>31006</v>
      </c>
      <c r="C7" s="121">
        <v>2603</v>
      </c>
      <c r="D7" s="121">
        <v>11186</v>
      </c>
      <c r="E7" s="121">
        <v>8051</v>
      </c>
      <c r="F7" s="121">
        <v>1085</v>
      </c>
      <c r="G7" s="121">
        <v>355</v>
      </c>
      <c r="H7" s="121">
        <v>0</v>
      </c>
      <c r="I7" s="121">
        <v>0</v>
      </c>
      <c r="J7" s="121">
        <v>0</v>
      </c>
      <c r="K7" s="121">
        <v>1974</v>
      </c>
      <c r="L7" s="121">
        <v>0</v>
      </c>
      <c r="M7" s="121"/>
      <c r="N7" s="121"/>
      <c r="O7" s="121"/>
      <c r="P7" s="121">
        <v>0</v>
      </c>
      <c r="Q7" s="121">
        <v>5752</v>
      </c>
    </row>
    <row r="8" spans="1:17" s="31" customFormat="1" ht="20.100000000000001" customHeight="1">
      <c r="A8" s="33" t="s">
        <v>202</v>
      </c>
      <c r="B8" s="124">
        <v>3792548</v>
      </c>
      <c r="C8" s="121">
        <v>1890166</v>
      </c>
      <c r="D8" s="121">
        <v>725211</v>
      </c>
      <c r="E8" s="121">
        <v>243731</v>
      </c>
      <c r="F8" s="121">
        <v>96115</v>
      </c>
      <c r="G8" s="121">
        <v>184591</v>
      </c>
      <c r="H8" s="121">
        <v>29195</v>
      </c>
      <c r="I8" s="121">
        <v>0</v>
      </c>
      <c r="J8" s="121">
        <v>0</v>
      </c>
      <c r="K8" s="121">
        <v>358246</v>
      </c>
      <c r="L8" s="121">
        <v>0</v>
      </c>
      <c r="M8" s="121"/>
      <c r="N8" s="121"/>
      <c r="O8" s="121"/>
      <c r="P8" s="121">
        <v>0</v>
      </c>
      <c r="Q8" s="121">
        <v>265293</v>
      </c>
    </row>
    <row r="9" spans="1:17" s="31" customFormat="1" ht="20.100000000000001" customHeight="1">
      <c r="A9" s="33" t="s">
        <v>253</v>
      </c>
      <c r="B9" s="124">
        <v>7755790</v>
      </c>
      <c r="C9" s="121">
        <v>2038614</v>
      </c>
      <c r="D9" s="121">
        <v>823764</v>
      </c>
      <c r="E9" s="121">
        <v>237585</v>
      </c>
      <c r="F9" s="121">
        <v>726778</v>
      </c>
      <c r="G9" s="121">
        <v>3003609</v>
      </c>
      <c r="H9" s="121">
        <v>176597</v>
      </c>
      <c r="I9" s="121"/>
      <c r="J9" s="121">
        <v>0</v>
      </c>
      <c r="K9" s="121">
        <v>685200</v>
      </c>
      <c r="L9" s="121">
        <v>0</v>
      </c>
      <c r="M9" s="121"/>
      <c r="N9" s="121"/>
      <c r="O9" s="121"/>
      <c r="P9" s="121">
        <v>26887</v>
      </c>
      <c r="Q9" s="121">
        <v>36756</v>
      </c>
    </row>
    <row r="10" spans="1:17" s="31" customFormat="1" ht="20.100000000000001" customHeight="1">
      <c r="A10" s="33" t="s">
        <v>301</v>
      </c>
      <c r="B10" s="124">
        <v>288318</v>
      </c>
      <c r="C10" s="121">
        <v>88388</v>
      </c>
      <c r="D10" s="121">
        <v>60613</v>
      </c>
      <c r="E10" s="121">
        <v>67056</v>
      </c>
      <c r="F10" s="121">
        <v>6792</v>
      </c>
      <c r="G10" s="121">
        <v>21147</v>
      </c>
      <c r="H10" s="121">
        <v>5348</v>
      </c>
      <c r="I10" s="121">
        <v>27218</v>
      </c>
      <c r="J10" s="121">
        <v>5586</v>
      </c>
      <c r="K10" s="121">
        <v>3945</v>
      </c>
      <c r="L10" s="121">
        <v>0</v>
      </c>
      <c r="M10" s="121"/>
      <c r="N10" s="121"/>
      <c r="O10" s="121"/>
      <c r="P10" s="121">
        <v>0</v>
      </c>
      <c r="Q10" s="121">
        <v>2225</v>
      </c>
    </row>
    <row r="11" spans="1:17" s="31" customFormat="1" ht="20.100000000000001" customHeight="1">
      <c r="A11" s="33" t="s">
        <v>350</v>
      </c>
      <c r="B11" s="124">
        <v>692324</v>
      </c>
      <c r="C11" s="121">
        <v>159083</v>
      </c>
      <c r="D11" s="121">
        <v>78927</v>
      </c>
      <c r="E11" s="121">
        <v>65117</v>
      </c>
      <c r="F11" s="121">
        <v>47064</v>
      </c>
      <c r="G11" s="121">
        <v>171217</v>
      </c>
      <c r="H11" s="121">
        <v>26355</v>
      </c>
      <c r="I11" s="121">
        <v>45953</v>
      </c>
      <c r="J11" s="121">
        <v>21396</v>
      </c>
      <c r="K11" s="121">
        <v>48345</v>
      </c>
      <c r="L11" s="121"/>
      <c r="M11" s="121"/>
      <c r="N11" s="121"/>
      <c r="O11" s="121"/>
      <c r="P11" s="121">
        <v>0</v>
      </c>
      <c r="Q11" s="121">
        <v>28867</v>
      </c>
    </row>
    <row r="12" spans="1:17" s="31" customFormat="1" ht="20.100000000000001" customHeight="1">
      <c r="A12" s="33" t="s">
        <v>392</v>
      </c>
      <c r="B12" s="124">
        <v>6172238</v>
      </c>
      <c r="C12" s="121">
        <v>1087145</v>
      </c>
      <c r="D12" s="121">
        <v>454367</v>
      </c>
      <c r="E12" s="121">
        <v>35655</v>
      </c>
      <c r="F12" s="121">
        <v>11596</v>
      </c>
      <c r="G12" s="121">
        <v>473181</v>
      </c>
      <c r="H12" s="121">
        <v>23521</v>
      </c>
      <c r="I12" s="121">
        <v>9368</v>
      </c>
      <c r="J12" s="121">
        <v>0</v>
      </c>
      <c r="K12" s="121">
        <v>2831220</v>
      </c>
      <c r="L12" s="121">
        <v>1223302</v>
      </c>
      <c r="M12" s="121"/>
      <c r="N12" s="121"/>
      <c r="O12" s="121"/>
      <c r="P12" s="121"/>
      <c r="Q12" s="121">
        <v>22883</v>
      </c>
    </row>
    <row r="13" spans="1:17" s="31" customFormat="1" ht="20.100000000000001" customHeight="1">
      <c r="A13" s="33" t="s">
        <v>499</v>
      </c>
      <c r="B13" s="124">
        <v>3436121</v>
      </c>
      <c r="C13" s="121">
        <v>686581</v>
      </c>
      <c r="D13" s="121">
        <v>217192</v>
      </c>
      <c r="E13" s="121">
        <v>41436</v>
      </c>
      <c r="F13" s="121">
        <v>53144</v>
      </c>
      <c r="G13" s="121">
        <v>509893</v>
      </c>
      <c r="H13" s="121">
        <v>281312</v>
      </c>
      <c r="I13" s="121">
        <v>0</v>
      </c>
      <c r="J13" s="121">
        <v>0</v>
      </c>
      <c r="K13" s="121">
        <v>758357</v>
      </c>
      <c r="L13" s="121">
        <v>868156</v>
      </c>
      <c r="M13" s="121"/>
      <c r="N13" s="121"/>
      <c r="O13" s="121"/>
      <c r="P13" s="121">
        <v>0</v>
      </c>
      <c r="Q13" s="121">
        <v>20050</v>
      </c>
    </row>
    <row r="14" spans="1:17" s="31" customFormat="1" ht="20.100000000000001" customHeight="1">
      <c r="A14" s="33" t="s">
        <v>561</v>
      </c>
      <c r="B14" s="124">
        <v>623455</v>
      </c>
      <c r="C14" s="121">
        <v>60728</v>
      </c>
      <c r="D14" s="121">
        <v>56185</v>
      </c>
      <c r="E14" s="121">
        <v>99431</v>
      </c>
      <c r="F14" s="121">
        <v>96788</v>
      </c>
      <c r="G14" s="121">
        <v>83688</v>
      </c>
      <c r="H14" s="121">
        <v>49662</v>
      </c>
      <c r="I14" s="121">
        <v>93301</v>
      </c>
      <c r="J14" s="121">
        <v>0</v>
      </c>
      <c r="K14" s="121">
        <v>35888</v>
      </c>
      <c r="L14" s="121">
        <v>0</v>
      </c>
      <c r="M14" s="121"/>
      <c r="N14" s="121"/>
      <c r="O14" s="121"/>
      <c r="P14" s="121">
        <v>0</v>
      </c>
      <c r="Q14" s="121">
        <v>47784</v>
      </c>
    </row>
    <row r="15" spans="1:17" s="31" customFormat="1" ht="20.100000000000001" customHeight="1">
      <c r="A15" s="33" t="s">
        <v>627</v>
      </c>
      <c r="B15" s="124">
        <v>1930114</v>
      </c>
      <c r="C15" s="121">
        <v>180613</v>
      </c>
      <c r="D15" s="121">
        <v>186399</v>
      </c>
      <c r="E15" s="121">
        <v>551897</v>
      </c>
      <c r="F15" s="121">
        <v>326402</v>
      </c>
      <c r="G15" s="121">
        <v>153025</v>
      </c>
      <c r="H15" s="121">
        <v>49997</v>
      </c>
      <c r="I15" s="121">
        <v>104921</v>
      </c>
      <c r="J15" s="121">
        <v>40040</v>
      </c>
      <c r="K15" s="121">
        <v>44978</v>
      </c>
      <c r="L15" s="121">
        <v>0</v>
      </c>
      <c r="M15" s="121"/>
      <c r="N15" s="121"/>
      <c r="O15" s="121"/>
      <c r="P15" s="121">
        <v>179270</v>
      </c>
      <c r="Q15" s="121">
        <v>112572</v>
      </c>
    </row>
    <row r="16" spans="1:17" s="31" customFormat="1" ht="20.100000000000001" customHeight="1">
      <c r="A16" s="33" t="s">
        <v>643</v>
      </c>
      <c r="B16" s="124">
        <v>7077318</v>
      </c>
      <c r="C16" s="121">
        <v>551781</v>
      </c>
      <c r="D16" s="121">
        <v>470177</v>
      </c>
      <c r="E16" s="121">
        <v>1856454</v>
      </c>
      <c r="F16" s="121">
        <v>1681764</v>
      </c>
      <c r="G16" s="121">
        <v>439367</v>
      </c>
      <c r="H16" s="121">
        <v>97882</v>
      </c>
      <c r="I16" s="121">
        <v>72329</v>
      </c>
      <c r="J16" s="121">
        <v>8921</v>
      </c>
      <c r="K16" s="121">
        <v>1291405</v>
      </c>
      <c r="L16" s="121">
        <v>0</v>
      </c>
      <c r="M16" s="121"/>
      <c r="N16" s="121"/>
      <c r="O16" s="121"/>
      <c r="P16" s="121">
        <v>145364</v>
      </c>
      <c r="Q16" s="121">
        <v>461874</v>
      </c>
    </row>
    <row r="17" spans="1:17" s="31" customFormat="1" ht="20.100000000000001" customHeight="1">
      <c r="A17" s="33" t="s">
        <v>739</v>
      </c>
      <c r="B17" s="124">
        <v>2543762</v>
      </c>
      <c r="C17" s="121">
        <v>264812</v>
      </c>
      <c r="D17" s="121">
        <v>129896</v>
      </c>
      <c r="E17" s="121">
        <v>878245</v>
      </c>
      <c r="F17" s="121">
        <v>388614</v>
      </c>
      <c r="G17" s="121">
        <v>20319</v>
      </c>
      <c r="H17" s="121">
        <v>137952</v>
      </c>
      <c r="I17" s="121">
        <v>228667</v>
      </c>
      <c r="J17" s="121"/>
      <c r="K17" s="121">
        <v>95513</v>
      </c>
      <c r="L17" s="121">
        <v>0</v>
      </c>
      <c r="M17" s="121"/>
      <c r="N17" s="121"/>
      <c r="O17" s="121"/>
      <c r="P17" s="121">
        <v>0</v>
      </c>
      <c r="Q17" s="121">
        <v>399744</v>
      </c>
    </row>
    <row r="18" spans="1:17" s="31" customFormat="1" ht="20.100000000000001" customHeight="1">
      <c r="A18" s="55" t="s">
        <v>790</v>
      </c>
      <c r="B18" s="124">
        <v>795167</v>
      </c>
      <c r="C18" s="121">
        <v>63042</v>
      </c>
      <c r="D18" s="121">
        <v>142974</v>
      </c>
      <c r="E18" s="121">
        <v>39857</v>
      </c>
      <c r="F18" s="121">
        <v>41308</v>
      </c>
      <c r="G18" s="121">
        <v>13311</v>
      </c>
      <c r="H18" s="121">
        <v>11683</v>
      </c>
      <c r="I18" s="121">
        <v>198137</v>
      </c>
      <c r="J18" s="121">
        <v>254133</v>
      </c>
      <c r="K18" s="121">
        <v>15961</v>
      </c>
      <c r="L18" s="121">
        <v>0</v>
      </c>
      <c r="M18" s="121"/>
      <c r="N18" s="121"/>
      <c r="O18" s="121"/>
      <c r="P18" s="121">
        <v>0</v>
      </c>
      <c r="Q18" s="121">
        <v>14761</v>
      </c>
    </row>
    <row r="19" spans="1:17" s="31" customFormat="1" ht="20.100000000000001" customHeight="1">
      <c r="A19" s="55" t="s">
        <v>835</v>
      </c>
      <c r="B19" s="124">
        <v>219947</v>
      </c>
      <c r="C19" s="121">
        <v>41425</v>
      </c>
      <c r="D19" s="121">
        <v>24148</v>
      </c>
      <c r="E19" s="121">
        <v>24742</v>
      </c>
      <c r="F19" s="121">
        <v>13675</v>
      </c>
      <c r="G19" s="121">
        <v>24002</v>
      </c>
      <c r="H19" s="121">
        <v>0</v>
      </c>
      <c r="I19" s="121">
        <v>21183</v>
      </c>
      <c r="J19" s="121">
        <v>0</v>
      </c>
      <c r="K19" s="121">
        <v>17403</v>
      </c>
      <c r="L19" s="121">
        <v>0</v>
      </c>
      <c r="M19" s="121"/>
      <c r="N19" s="121"/>
      <c r="O19" s="121"/>
      <c r="P19" s="121">
        <v>0</v>
      </c>
      <c r="Q19" s="121">
        <v>53369</v>
      </c>
    </row>
    <row r="20" spans="1:17" s="31" customFormat="1" ht="20.100000000000001" customHeight="1">
      <c r="A20" s="56" t="s">
        <v>848</v>
      </c>
      <c r="B20" s="124">
        <v>4384</v>
      </c>
      <c r="C20" s="121">
        <v>0</v>
      </c>
      <c r="D20" s="121">
        <v>1034</v>
      </c>
      <c r="E20" s="121">
        <v>0</v>
      </c>
      <c r="F20" s="121">
        <v>0</v>
      </c>
      <c r="G20" s="121">
        <v>0</v>
      </c>
      <c r="H20" s="121">
        <v>0</v>
      </c>
      <c r="I20" s="121">
        <v>2330</v>
      </c>
      <c r="J20" s="121">
        <v>0</v>
      </c>
      <c r="K20" s="121">
        <v>1020</v>
      </c>
      <c r="L20" s="121">
        <v>0</v>
      </c>
      <c r="M20" s="121"/>
      <c r="N20" s="121"/>
      <c r="O20" s="121"/>
      <c r="P20" s="121">
        <v>0</v>
      </c>
      <c r="Q20" s="121">
        <v>0</v>
      </c>
    </row>
    <row r="21" spans="1:17" s="31" customFormat="1" ht="20.100000000000001" customHeight="1">
      <c r="A21" s="55" t="s">
        <v>874</v>
      </c>
      <c r="B21" s="124">
        <v>0</v>
      </c>
      <c r="C21" s="121">
        <v>0</v>
      </c>
      <c r="D21" s="121">
        <v>0</v>
      </c>
      <c r="E21" s="121">
        <v>0</v>
      </c>
      <c r="F21" s="121">
        <v>0</v>
      </c>
      <c r="G21" s="121">
        <v>0</v>
      </c>
      <c r="H21" s="121">
        <v>0</v>
      </c>
      <c r="I21" s="121">
        <v>0</v>
      </c>
      <c r="J21" s="121">
        <v>0</v>
      </c>
      <c r="K21" s="121">
        <v>0</v>
      </c>
      <c r="L21" s="121">
        <v>0</v>
      </c>
      <c r="M21" s="121"/>
      <c r="N21" s="121"/>
      <c r="O21" s="121"/>
      <c r="P21" s="121">
        <v>0</v>
      </c>
      <c r="Q21" s="121">
        <v>0</v>
      </c>
    </row>
    <row r="22" spans="1:17" s="31" customFormat="1" ht="20.100000000000001" customHeight="1">
      <c r="A22" s="55" t="s">
        <v>884</v>
      </c>
      <c r="B22" s="124">
        <v>249453</v>
      </c>
      <c r="C22" s="121">
        <v>63536</v>
      </c>
      <c r="D22" s="121">
        <v>29727</v>
      </c>
      <c r="E22" s="121">
        <v>52722</v>
      </c>
      <c r="F22" s="121">
        <v>17789</v>
      </c>
      <c r="G22" s="121">
        <v>27275</v>
      </c>
      <c r="H22" s="121">
        <v>5333</v>
      </c>
      <c r="I22" s="121">
        <v>0</v>
      </c>
      <c r="J22" s="121">
        <v>0</v>
      </c>
      <c r="K22" s="121">
        <v>35244</v>
      </c>
      <c r="L22" s="121">
        <v>0</v>
      </c>
      <c r="M22" s="121"/>
      <c r="N22" s="121"/>
      <c r="O22" s="121"/>
      <c r="P22" s="121">
        <v>0</v>
      </c>
      <c r="Q22" s="121">
        <v>17827</v>
      </c>
    </row>
    <row r="23" spans="1:17" s="31" customFormat="1" ht="20.100000000000001" customHeight="1">
      <c r="A23" s="55" t="s">
        <v>921</v>
      </c>
      <c r="B23" s="124">
        <v>905761</v>
      </c>
      <c r="C23" s="121">
        <v>233374</v>
      </c>
      <c r="D23" s="121">
        <v>36333</v>
      </c>
      <c r="E23" s="121">
        <v>236825</v>
      </c>
      <c r="F23" s="121">
        <v>155228</v>
      </c>
      <c r="G23" s="121">
        <v>97646</v>
      </c>
      <c r="H23" s="121">
        <v>9239</v>
      </c>
      <c r="I23" s="121">
        <v>57</v>
      </c>
      <c r="J23" s="121">
        <v>52</v>
      </c>
      <c r="K23" s="121">
        <v>84106</v>
      </c>
      <c r="L23" s="121">
        <v>0</v>
      </c>
      <c r="M23" s="121"/>
      <c r="N23" s="121"/>
      <c r="O23" s="121"/>
      <c r="P23" s="121">
        <v>45974</v>
      </c>
      <c r="Q23" s="121">
        <v>6927</v>
      </c>
    </row>
    <row r="24" spans="1:17" s="31" customFormat="1" ht="20.100000000000001" customHeight="1">
      <c r="A24" s="55" t="s">
        <v>941</v>
      </c>
      <c r="B24" s="124">
        <v>119557</v>
      </c>
      <c r="C24" s="121">
        <v>45160</v>
      </c>
      <c r="D24" s="121">
        <v>11139</v>
      </c>
      <c r="E24" s="121">
        <v>3312</v>
      </c>
      <c r="F24" s="121">
        <v>4527</v>
      </c>
      <c r="G24" s="121">
        <v>18496</v>
      </c>
      <c r="H24" s="121">
        <v>1120</v>
      </c>
      <c r="I24" s="121">
        <v>7881</v>
      </c>
      <c r="J24" s="121">
        <v>0</v>
      </c>
      <c r="K24" s="121">
        <v>25791</v>
      </c>
      <c r="L24" s="121">
        <v>0</v>
      </c>
      <c r="M24" s="121"/>
      <c r="N24" s="121"/>
      <c r="O24" s="121"/>
      <c r="P24" s="121">
        <v>0</v>
      </c>
      <c r="Q24" s="121">
        <v>2131</v>
      </c>
    </row>
    <row r="25" spans="1:17" s="31" customFormat="1" ht="20.100000000000001" customHeight="1">
      <c r="A25" s="55" t="s">
        <v>981</v>
      </c>
      <c r="B25" s="124">
        <v>166239</v>
      </c>
      <c r="C25" s="121">
        <v>39485</v>
      </c>
      <c r="D25" s="121">
        <v>37247</v>
      </c>
      <c r="E25" s="121">
        <v>17463</v>
      </c>
      <c r="F25" s="121">
        <v>31268</v>
      </c>
      <c r="G25" s="121">
        <v>8368</v>
      </c>
      <c r="H25" s="121">
        <v>678</v>
      </c>
      <c r="I25" s="121">
        <v>286</v>
      </c>
      <c r="J25" s="121">
        <v>0</v>
      </c>
      <c r="K25" s="121">
        <v>28077</v>
      </c>
      <c r="L25" s="121">
        <v>0</v>
      </c>
      <c r="M25" s="121"/>
      <c r="N25" s="121"/>
      <c r="O25" s="121"/>
      <c r="P25" s="121">
        <v>0</v>
      </c>
      <c r="Q25" s="121">
        <v>3367</v>
      </c>
    </row>
    <row r="26" spans="1:17" s="31" customFormat="1" ht="20.100000000000001" customHeight="1">
      <c r="A26" s="56" t="s">
        <v>1135</v>
      </c>
      <c r="B26" s="124">
        <v>464000</v>
      </c>
      <c r="C26" s="121">
        <v>0</v>
      </c>
      <c r="D26" s="121"/>
      <c r="E26" s="121"/>
      <c r="F26" s="121">
        <v>0</v>
      </c>
      <c r="G26" s="121">
        <v>0</v>
      </c>
      <c r="H26" s="121">
        <v>0</v>
      </c>
      <c r="I26" s="121">
        <v>0</v>
      </c>
      <c r="J26" s="121">
        <v>0</v>
      </c>
      <c r="K26" s="121">
        <v>0</v>
      </c>
      <c r="L26" s="121">
        <v>0</v>
      </c>
      <c r="M26" s="121"/>
      <c r="N26" s="121"/>
      <c r="O26" s="121"/>
      <c r="P26" s="121">
        <v>464000</v>
      </c>
      <c r="Q26" s="121"/>
    </row>
    <row r="27" spans="1:17" s="31" customFormat="1" ht="20.100000000000001" customHeight="1">
      <c r="A27" s="55" t="s">
        <v>1136</v>
      </c>
      <c r="B27" s="124">
        <v>1604226</v>
      </c>
      <c r="C27" s="121"/>
      <c r="D27" s="121"/>
      <c r="E27" s="121"/>
      <c r="F27" s="121"/>
      <c r="G27" s="121"/>
      <c r="H27" s="121"/>
      <c r="I27" s="121"/>
      <c r="J27" s="121">
        <v>0</v>
      </c>
      <c r="K27" s="121"/>
      <c r="L27" s="121">
        <v>0</v>
      </c>
      <c r="M27" s="121">
        <v>1604226</v>
      </c>
      <c r="N27" s="121"/>
      <c r="O27" s="121"/>
      <c r="P27" s="121"/>
      <c r="Q27" s="121"/>
    </row>
    <row r="28" spans="1:17" s="31" customFormat="1" ht="20.100000000000001" customHeight="1">
      <c r="A28" s="55" t="s">
        <v>1138</v>
      </c>
      <c r="B28" s="124">
        <v>3406</v>
      </c>
      <c r="C28" s="121">
        <v>0</v>
      </c>
      <c r="D28" s="121"/>
      <c r="E28" s="121"/>
      <c r="F28" s="121"/>
      <c r="G28" s="121"/>
      <c r="H28" s="121"/>
      <c r="I28" s="121"/>
      <c r="J28" s="121"/>
      <c r="K28" s="121"/>
      <c r="L28" s="121"/>
      <c r="M28" s="121">
        <v>3406</v>
      </c>
      <c r="N28" s="121"/>
      <c r="O28" s="121"/>
      <c r="P28" s="121"/>
      <c r="Q28" s="121"/>
    </row>
    <row r="29" spans="1:17" s="31" customFormat="1" ht="20.100000000000001" customHeight="1">
      <c r="A29" s="33" t="s">
        <v>1139</v>
      </c>
      <c r="B29" s="124">
        <v>1488162</v>
      </c>
      <c r="C29" s="121">
        <v>108702</v>
      </c>
      <c r="D29" s="121">
        <v>20025</v>
      </c>
      <c r="E29" s="121">
        <v>15884</v>
      </c>
      <c r="F29" s="121">
        <v>3611</v>
      </c>
      <c r="G29" s="121">
        <v>15321</v>
      </c>
      <c r="H29" s="121">
        <v>35</v>
      </c>
      <c r="I29" s="121">
        <v>5000</v>
      </c>
      <c r="J29" s="121">
        <v>0</v>
      </c>
      <c r="K29" s="121">
        <v>23881</v>
      </c>
      <c r="L29" s="121"/>
      <c r="M29" s="121"/>
      <c r="N29" s="121"/>
      <c r="O29" s="121">
        <v>0</v>
      </c>
      <c r="P29" s="121">
        <v>44207</v>
      </c>
      <c r="Q29" s="121">
        <v>1251496</v>
      </c>
    </row>
    <row r="30" spans="1:17" s="31" customFormat="1" ht="20.100000000000001" customHeight="1">
      <c r="A30" s="33" t="s">
        <v>1038</v>
      </c>
      <c r="B30" s="122">
        <f>SUM(C30:Q30)</f>
        <v>3916049</v>
      </c>
      <c r="C30" s="121">
        <v>0</v>
      </c>
      <c r="D30" s="121">
        <v>0</v>
      </c>
      <c r="E30" s="121">
        <v>0</v>
      </c>
      <c r="F30" s="121">
        <v>0</v>
      </c>
      <c r="G30" s="121">
        <v>0</v>
      </c>
      <c r="H30" s="121">
        <v>0</v>
      </c>
      <c r="I30" s="121">
        <v>0</v>
      </c>
      <c r="J30" s="121">
        <v>0</v>
      </c>
      <c r="K30" s="121">
        <v>0</v>
      </c>
      <c r="L30" s="121">
        <v>0</v>
      </c>
      <c r="M30" s="121">
        <v>0</v>
      </c>
      <c r="N30" s="121">
        <v>2729830</v>
      </c>
      <c r="O30" s="121">
        <v>1177816</v>
      </c>
      <c r="P30" s="121">
        <v>0</v>
      </c>
      <c r="Q30" s="121">
        <v>8403</v>
      </c>
    </row>
    <row r="31" spans="1:17" s="31" customFormat="1" ht="20.100000000000001" customHeight="1">
      <c r="A31" s="57" t="s">
        <v>1125</v>
      </c>
      <c r="B31" s="122">
        <f>SUM(C31:Q31)</f>
        <v>48365258</v>
      </c>
      <c r="C31" s="122">
        <f t="shared" ref="C31:Q31" si="0">SUM(C5:C30)</f>
        <v>9779297</v>
      </c>
      <c r="D31" s="122">
        <f t="shared" si="0"/>
        <v>4312358</v>
      </c>
      <c r="E31" s="122">
        <f t="shared" si="0"/>
        <v>4582333</v>
      </c>
      <c r="F31" s="122">
        <f t="shared" si="0"/>
        <v>3778030</v>
      </c>
      <c r="G31" s="122">
        <f t="shared" si="0"/>
        <v>5572500</v>
      </c>
      <c r="H31" s="122">
        <f t="shared" si="0"/>
        <v>915145</v>
      </c>
      <c r="I31" s="122">
        <f t="shared" si="0"/>
        <v>836383</v>
      </c>
      <c r="J31" s="122">
        <f t="shared" si="0"/>
        <v>330128</v>
      </c>
      <c r="K31" s="122">
        <f t="shared" si="0"/>
        <v>6949402</v>
      </c>
      <c r="L31" s="122">
        <f t="shared" si="0"/>
        <v>2091458</v>
      </c>
      <c r="M31" s="122">
        <f t="shared" si="0"/>
        <v>1607632</v>
      </c>
      <c r="N31" s="122">
        <f t="shared" si="0"/>
        <v>2729830</v>
      </c>
      <c r="O31" s="122">
        <f t="shared" si="0"/>
        <v>1177816</v>
      </c>
      <c r="P31" s="122">
        <f t="shared" si="0"/>
        <v>905702</v>
      </c>
      <c r="Q31" s="122">
        <f t="shared" si="0"/>
        <v>2797244</v>
      </c>
    </row>
    <row r="32" spans="1:17" s="31" customFormat="1"/>
    <row r="33" s="31" customFormat="1"/>
    <row r="34" s="31" customFormat="1"/>
    <row r="35" s="31" customFormat="1"/>
    <row r="36" s="31" customFormat="1"/>
    <row r="37" s="31" customFormat="1"/>
    <row r="38" s="31" customFormat="1"/>
    <row r="39" s="31" customFormat="1"/>
    <row r="40" s="31" customFormat="1"/>
    <row r="41" s="31" customFormat="1"/>
  </sheetData>
  <mergeCells count="1">
    <mergeCell ref="A2:Q2"/>
  </mergeCells>
  <phoneticPr fontId="14" type="noConversion"/>
  <printOptions horizontalCentered="1"/>
  <pageMargins left="0.47244094488188998" right="0.47244094488188998" top="0.27559055118110198" bottom="0.15748031496063" header="0.118110236220472" footer="0.118110236220472"/>
  <pageSetup paperSize="9" scale="80" orientation="landscape"/>
</worksheet>
</file>

<file path=xl/worksheets/sheet8.xml><?xml version="1.0" encoding="utf-8"?>
<worksheet xmlns="http://schemas.openxmlformats.org/spreadsheetml/2006/main" xmlns:r="http://schemas.openxmlformats.org/officeDocument/2006/relationships">
  <dimension ref="A1:AC153"/>
  <sheetViews>
    <sheetView showGridLines="0" showZeros="0" topLeftCell="Q44" workbookViewId="0">
      <selection activeCell="Z162" sqref="Z162"/>
    </sheetView>
  </sheetViews>
  <sheetFormatPr defaultColWidth="5.75" defaultRowHeight="13.5"/>
  <cols>
    <col min="1" max="1" width="17.125" style="36" customWidth="1"/>
    <col min="2" max="2" width="11.25" style="154" bestFit="1" customWidth="1"/>
    <col min="3" max="5" width="10.25" style="154" bestFit="1" customWidth="1"/>
    <col min="6" max="6" width="5.25" style="154" bestFit="1" customWidth="1"/>
    <col min="7" max="10" width="8.5" style="154" bestFit="1" customWidth="1"/>
    <col min="11" max="11" width="7.625" style="154" bestFit="1" customWidth="1"/>
    <col min="12" max="16" width="8.5" style="154" bestFit="1" customWidth="1"/>
    <col min="17" max="17" width="5.25" style="154" bestFit="1" customWidth="1"/>
    <col min="18" max="18" width="7.625" style="154" bestFit="1" customWidth="1"/>
    <col min="19" max="19" width="6.75" style="154" bestFit="1" customWidth="1"/>
    <col min="20" max="21" width="10.25" style="154" bestFit="1" customWidth="1"/>
    <col min="22" max="24" width="8.5" style="154" bestFit="1" customWidth="1"/>
    <col min="25" max="25" width="10.25" style="154" bestFit="1" customWidth="1"/>
    <col min="26" max="26" width="7.5" style="154" bestFit="1" customWidth="1"/>
    <col min="27" max="27" width="8.5" style="155" bestFit="1" customWidth="1"/>
    <col min="28" max="28" width="11.125" style="154" bestFit="1" customWidth="1"/>
    <col min="29" max="16384" width="5.75" style="36"/>
  </cols>
  <sheetData>
    <row r="1" spans="1:28" ht="14.25">
      <c r="A1" s="314" t="s">
        <v>1161</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row>
    <row r="2" spans="1:28" s="35" customFormat="1" ht="33.950000000000003" customHeight="1">
      <c r="A2" s="362" t="s">
        <v>1162</v>
      </c>
      <c r="B2" s="362" t="s">
        <v>1163</v>
      </c>
      <c r="C2" s="362"/>
      <c r="D2" s="362"/>
      <c r="E2" s="362"/>
      <c r="F2" s="362"/>
      <c r="G2" s="362"/>
      <c r="H2" s="362"/>
      <c r="I2" s="362"/>
      <c r="J2" s="362"/>
      <c r="K2" s="362"/>
      <c r="L2" s="362"/>
      <c r="M2" s="362"/>
      <c r="N2" s="362"/>
      <c r="O2" s="362"/>
      <c r="P2" s="362"/>
      <c r="Q2" s="362"/>
      <c r="R2" s="362"/>
      <c r="S2" s="362"/>
      <c r="T2" s="362"/>
      <c r="U2" s="362"/>
      <c r="V2" s="362"/>
      <c r="W2" s="362"/>
      <c r="X2" s="362"/>
      <c r="Y2" s="362"/>
      <c r="Z2" s="362"/>
      <c r="AA2" s="316"/>
      <c r="AB2" s="316"/>
    </row>
    <row r="3" spans="1:28" ht="17.100000000000001" customHeight="1">
      <c r="A3" s="317"/>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t="s">
        <v>22</v>
      </c>
    </row>
    <row r="4" spans="1:28" ht="31.5" customHeight="1">
      <c r="A4" s="366" t="s">
        <v>1164</v>
      </c>
      <c r="B4" s="319" t="s">
        <v>1165</v>
      </c>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row>
    <row r="5" spans="1:28" ht="17.100000000000001" customHeight="1">
      <c r="A5" s="367"/>
      <c r="B5" s="369" t="s">
        <v>53</v>
      </c>
      <c r="C5" s="363" t="s">
        <v>1166</v>
      </c>
      <c r="D5" s="364"/>
      <c r="E5" s="364"/>
      <c r="F5" s="364"/>
      <c r="G5" s="364"/>
      <c r="H5" s="364"/>
      <c r="I5" s="364"/>
      <c r="J5" s="364"/>
      <c r="K5" s="364"/>
      <c r="L5" s="364"/>
      <c r="M5" s="364"/>
      <c r="N5" s="364"/>
      <c r="O5" s="364"/>
      <c r="P5" s="364"/>
      <c r="Q5" s="364"/>
      <c r="R5" s="364"/>
      <c r="S5" s="365"/>
      <c r="T5" s="363" t="s">
        <v>1167</v>
      </c>
      <c r="U5" s="364"/>
      <c r="V5" s="364"/>
      <c r="W5" s="364"/>
      <c r="X5" s="364"/>
      <c r="Y5" s="364"/>
      <c r="Z5" s="364"/>
      <c r="AA5" s="364"/>
      <c r="AB5" s="365"/>
    </row>
    <row r="6" spans="1:28" ht="59.25" customHeight="1">
      <c r="A6" s="368"/>
      <c r="B6" s="370"/>
      <c r="C6" s="320" t="s">
        <v>1168</v>
      </c>
      <c r="D6" s="320" t="s">
        <v>1169</v>
      </c>
      <c r="E6" s="320" t="s">
        <v>1170</v>
      </c>
      <c r="F6" s="320" t="s">
        <v>1171</v>
      </c>
      <c r="G6" s="320" t="s">
        <v>1172</v>
      </c>
      <c r="H6" s="320" t="s">
        <v>1173</v>
      </c>
      <c r="I6" s="320" t="s">
        <v>1174</v>
      </c>
      <c r="J6" s="320" t="s">
        <v>1175</v>
      </c>
      <c r="K6" s="320" t="s">
        <v>1176</v>
      </c>
      <c r="L6" s="320" t="s">
        <v>1177</v>
      </c>
      <c r="M6" s="320" t="s">
        <v>1178</v>
      </c>
      <c r="N6" s="320" t="s">
        <v>1179</v>
      </c>
      <c r="O6" s="320" t="s">
        <v>1180</v>
      </c>
      <c r="P6" s="320" t="s">
        <v>1181</v>
      </c>
      <c r="Q6" s="320" t="s">
        <v>1182</v>
      </c>
      <c r="R6" s="320" t="s">
        <v>1183</v>
      </c>
      <c r="S6" s="320" t="s">
        <v>1184</v>
      </c>
      <c r="T6" s="320" t="s">
        <v>1168</v>
      </c>
      <c r="U6" s="320" t="s">
        <v>1185</v>
      </c>
      <c r="V6" s="320" t="s">
        <v>1186</v>
      </c>
      <c r="W6" s="320" t="s">
        <v>1187</v>
      </c>
      <c r="X6" s="320" t="s">
        <v>1188</v>
      </c>
      <c r="Y6" s="320" t="s">
        <v>1189</v>
      </c>
      <c r="Z6" s="320" t="s">
        <v>1190</v>
      </c>
      <c r="AA6" s="320" t="s">
        <v>1191</v>
      </c>
      <c r="AB6" s="320" t="s">
        <v>1192</v>
      </c>
    </row>
    <row r="7" spans="1:28" ht="15.95" customHeight="1">
      <c r="A7" s="321" t="s">
        <v>1702</v>
      </c>
      <c r="B7" s="322">
        <f>SUM(C7,T7)</f>
        <v>15434897</v>
      </c>
      <c r="C7" s="322">
        <v>10580850</v>
      </c>
      <c r="D7" s="322">
        <v>4073700</v>
      </c>
      <c r="E7" s="322">
        <v>1297618</v>
      </c>
      <c r="F7" s="322">
        <v>0</v>
      </c>
      <c r="G7" s="322">
        <v>511208</v>
      </c>
      <c r="H7" s="322">
        <v>928580</v>
      </c>
      <c r="I7" s="322">
        <v>608796</v>
      </c>
      <c r="J7" s="322">
        <v>491701</v>
      </c>
      <c r="K7" s="322">
        <v>245909</v>
      </c>
      <c r="L7" s="322">
        <v>637428</v>
      </c>
      <c r="M7" s="322">
        <v>447754</v>
      </c>
      <c r="N7" s="322">
        <v>223416</v>
      </c>
      <c r="O7" s="322">
        <v>466154</v>
      </c>
      <c r="P7" s="322">
        <v>598079</v>
      </c>
      <c r="Q7" s="322">
        <v>0</v>
      </c>
      <c r="R7" s="322">
        <v>46756</v>
      </c>
      <c r="S7" s="322">
        <v>3751</v>
      </c>
      <c r="T7" s="322">
        <v>4854047</v>
      </c>
      <c r="U7" s="322">
        <v>1251421</v>
      </c>
      <c r="V7" s="322">
        <v>622368</v>
      </c>
      <c r="W7" s="322">
        <v>512801</v>
      </c>
      <c r="X7" s="322">
        <v>341006</v>
      </c>
      <c r="Y7" s="322">
        <v>1552381</v>
      </c>
      <c r="Z7" s="322">
        <v>28211</v>
      </c>
      <c r="AA7" s="322">
        <v>208971</v>
      </c>
      <c r="AB7" s="322">
        <v>336888</v>
      </c>
    </row>
    <row r="8" spans="1:28" ht="15.95" customHeight="1">
      <c r="A8" s="321" t="s">
        <v>1703</v>
      </c>
      <c r="B8" s="322">
        <v>2272000</v>
      </c>
      <c r="C8" s="322">
        <v>1503500</v>
      </c>
      <c r="D8" s="322">
        <v>415000</v>
      </c>
      <c r="E8" s="322">
        <v>200000</v>
      </c>
      <c r="F8" s="322">
        <v>0</v>
      </c>
      <c r="G8" s="322">
        <v>56500</v>
      </c>
      <c r="H8" s="322">
        <v>493000</v>
      </c>
      <c r="I8" s="322">
        <v>72000</v>
      </c>
      <c r="J8" s="322">
        <v>61000</v>
      </c>
      <c r="K8" s="322">
        <v>30500</v>
      </c>
      <c r="L8" s="322">
        <v>46000</v>
      </c>
      <c r="M8" s="322">
        <v>40000</v>
      </c>
      <c r="N8" s="322">
        <v>19000</v>
      </c>
      <c r="O8" s="322">
        <v>28000</v>
      </c>
      <c r="P8" s="322">
        <v>37000</v>
      </c>
      <c r="Q8" s="322">
        <v>0</v>
      </c>
      <c r="R8" s="322">
        <v>5500</v>
      </c>
      <c r="S8" s="322">
        <v>0</v>
      </c>
      <c r="T8" s="322">
        <v>768500</v>
      </c>
      <c r="U8" s="322">
        <v>177000</v>
      </c>
      <c r="V8" s="322">
        <v>112000</v>
      </c>
      <c r="W8" s="322">
        <v>83000</v>
      </c>
      <c r="X8" s="322">
        <v>2258</v>
      </c>
      <c r="Y8" s="322">
        <v>248742</v>
      </c>
      <c r="Z8" s="322">
        <v>0</v>
      </c>
      <c r="AA8" s="322">
        <v>0</v>
      </c>
      <c r="AB8" s="322">
        <v>145500</v>
      </c>
    </row>
    <row r="9" spans="1:28" ht="15.95" customHeight="1">
      <c r="A9" s="323" t="s">
        <v>1704</v>
      </c>
      <c r="B9" s="322">
        <f>SUM(B10,B22,B29,B44,B54,B64,B71,B83,B96,B109,B116,B131,B142,B148)</f>
        <v>13162897</v>
      </c>
      <c r="C9" s="322">
        <f t="shared" ref="C9:AB9" si="0">SUM(C10,C22,C29,C44,C54,C64,C71,C83,C96,C109,C116,C131,C142,C148)</f>
        <v>9077350</v>
      </c>
      <c r="D9" s="322">
        <f t="shared" si="0"/>
        <v>3658700</v>
      </c>
      <c r="E9" s="322">
        <f t="shared" si="0"/>
        <v>1097618</v>
      </c>
      <c r="F9" s="322">
        <f t="shared" si="0"/>
        <v>0</v>
      </c>
      <c r="G9" s="322">
        <f t="shared" si="0"/>
        <v>454708</v>
      </c>
      <c r="H9" s="322">
        <f t="shared" si="0"/>
        <v>435580</v>
      </c>
      <c r="I9" s="322">
        <f t="shared" si="0"/>
        <v>536796</v>
      </c>
      <c r="J9" s="322">
        <f t="shared" si="0"/>
        <v>430701</v>
      </c>
      <c r="K9" s="322">
        <f t="shared" si="0"/>
        <v>215409</v>
      </c>
      <c r="L9" s="322">
        <f t="shared" si="0"/>
        <v>591428</v>
      </c>
      <c r="M9" s="322">
        <f t="shared" si="0"/>
        <v>407754</v>
      </c>
      <c r="N9" s="322">
        <f t="shared" si="0"/>
        <v>204416</v>
      </c>
      <c r="O9" s="322">
        <f t="shared" si="0"/>
        <v>438154</v>
      </c>
      <c r="P9" s="322">
        <f t="shared" si="0"/>
        <v>561079</v>
      </c>
      <c r="Q9" s="322">
        <f t="shared" si="0"/>
        <v>0</v>
      </c>
      <c r="R9" s="322">
        <f t="shared" si="0"/>
        <v>41256</v>
      </c>
      <c r="S9" s="322">
        <f t="shared" si="0"/>
        <v>3751</v>
      </c>
      <c r="T9" s="322">
        <f t="shared" si="0"/>
        <v>4085547</v>
      </c>
      <c r="U9" s="322">
        <f t="shared" si="0"/>
        <v>1074421</v>
      </c>
      <c r="V9" s="322">
        <f t="shared" si="0"/>
        <v>510368</v>
      </c>
      <c r="W9" s="322">
        <f t="shared" si="0"/>
        <v>429801</v>
      </c>
      <c r="X9" s="322">
        <f t="shared" si="0"/>
        <v>338748</v>
      </c>
      <c r="Y9" s="322">
        <f t="shared" si="0"/>
        <v>1303639</v>
      </c>
      <c r="Z9" s="322">
        <f t="shared" si="0"/>
        <v>28211</v>
      </c>
      <c r="AA9" s="322">
        <f t="shared" si="0"/>
        <v>208971</v>
      </c>
      <c r="AB9" s="322">
        <f t="shared" si="0"/>
        <v>191388</v>
      </c>
    </row>
    <row r="10" spans="1:28" s="125" customFormat="1" ht="15.95" customHeight="1">
      <c r="A10" s="324" t="s">
        <v>1705</v>
      </c>
      <c r="B10" s="325">
        <f>C10+T10</f>
        <v>4176403</v>
      </c>
      <c r="C10" s="325">
        <f>SUM(D10:S10)</f>
        <v>2821578</v>
      </c>
      <c r="D10" s="326">
        <f t="shared" ref="D10:AB10" si="1">SUM(D11:D12)</f>
        <v>1110394</v>
      </c>
      <c r="E10" s="326">
        <f t="shared" si="1"/>
        <v>448774</v>
      </c>
      <c r="F10" s="326">
        <f t="shared" si="1"/>
        <v>0</v>
      </c>
      <c r="G10" s="326">
        <f t="shared" si="1"/>
        <v>176497</v>
      </c>
      <c r="H10" s="326">
        <f t="shared" si="1"/>
        <v>8178</v>
      </c>
      <c r="I10" s="326">
        <f t="shared" si="1"/>
        <v>192013</v>
      </c>
      <c r="J10" s="326">
        <f t="shared" si="1"/>
        <v>166467</v>
      </c>
      <c r="K10" s="326">
        <f t="shared" si="1"/>
        <v>96536</v>
      </c>
      <c r="L10" s="326">
        <f t="shared" si="1"/>
        <v>79396</v>
      </c>
      <c r="M10" s="326">
        <f t="shared" si="1"/>
        <v>135079</v>
      </c>
      <c r="N10" s="326">
        <f t="shared" si="1"/>
        <v>56575</v>
      </c>
      <c r="O10" s="326">
        <f t="shared" si="1"/>
        <v>93849</v>
      </c>
      <c r="P10" s="326">
        <f t="shared" si="1"/>
        <v>254530</v>
      </c>
      <c r="Q10" s="326">
        <f t="shared" si="1"/>
        <v>0</v>
      </c>
      <c r="R10" s="326">
        <f t="shared" si="1"/>
        <v>2400</v>
      </c>
      <c r="S10" s="326">
        <f t="shared" si="1"/>
        <v>890</v>
      </c>
      <c r="T10" s="325">
        <f>SUM(U10:AB10)</f>
        <v>1354825</v>
      </c>
      <c r="U10" s="326">
        <f t="shared" si="1"/>
        <v>718326</v>
      </c>
      <c r="V10" s="326">
        <f t="shared" si="1"/>
        <v>185585</v>
      </c>
      <c r="W10" s="326">
        <f t="shared" si="1"/>
        <v>124773</v>
      </c>
      <c r="X10" s="326">
        <f t="shared" si="1"/>
        <v>111919</v>
      </c>
      <c r="Y10" s="326">
        <f t="shared" si="1"/>
        <v>92874</v>
      </c>
      <c r="Z10" s="326">
        <f t="shared" si="1"/>
        <v>100</v>
      </c>
      <c r="AA10" s="326">
        <f t="shared" si="1"/>
        <v>70000</v>
      </c>
      <c r="AB10" s="326">
        <f t="shared" si="1"/>
        <v>51248</v>
      </c>
    </row>
    <row r="11" spans="1:28" s="125" customFormat="1" ht="15.95" customHeight="1">
      <c r="A11" s="327" t="s">
        <v>1193</v>
      </c>
      <c r="B11" s="325">
        <f>C11+T11</f>
        <v>876200</v>
      </c>
      <c r="C11" s="325">
        <f>SUM(D11:S11)</f>
        <v>169400</v>
      </c>
      <c r="D11" s="326"/>
      <c r="E11" s="326"/>
      <c r="F11" s="326"/>
      <c r="G11" s="326"/>
      <c r="H11" s="326"/>
      <c r="I11" s="326"/>
      <c r="J11" s="326"/>
      <c r="K11" s="326"/>
      <c r="L11" s="326"/>
      <c r="M11" s="326"/>
      <c r="N11" s="326"/>
      <c r="O11" s="326"/>
      <c r="P11" s="326">
        <v>167000</v>
      </c>
      <c r="Q11" s="326"/>
      <c r="R11" s="326">
        <v>2400</v>
      </c>
      <c r="S11" s="326"/>
      <c r="T11" s="325">
        <f>SUM(U11:AB11)</f>
        <v>706800</v>
      </c>
      <c r="U11" s="326">
        <v>299700</v>
      </c>
      <c r="V11" s="326">
        <v>150000</v>
      </c>
      <c r="W11" s="326">
        <v>100000</v>
      </c>
      <c r="X11" s="326"/>
      <c r="Y11" s="326">
        <v>50000</v>
      </c>
      <c r="Z11" s="326">
        <v>100</v>
      </c>
      <c r="AA11" s="326">
        <v>70000</v>
      </c>
      <c r="AB11" s="326">
        <v>37000</v>
      </c>
    </row>
    <row r="12" spans="1:28" s="125" customFormat="1" ht="15.95" customHeight="1">
      <c r="A12" s="327" t="s">
        <v>1706</v>
      </c>
      <c r="B12" s="325">
        <f>C12+T12</f>
        <v>3300203</v>
      </c>
      <c r="C12" s="325">
        <f>SUM(D12:S12)</f>
        <v>2652178</v>
      </c>
      <c r="D12" s="326">
        <f>SUM(D13:D21)</f>
        <v>1110394</v>
      </c>
      <c r="E12" s="326">
        <f t="shared" ref="E12:AB12" si="2">SUM(E13:E21)</f>
        <v>448774</v>
      </c>
      <c r="F12" s="326">
        <f t="shared" si="2"/>
        <v>0</v>
      </c>
      <c r="G12" s="326">
        <f t="shared" si="2"/>
        <v>176497</v>
      </c>
      <c r="H12" s="326">
        <f t="shared" si="2"/>
        <v>8178</v>
      </c>
      <c r="I12" s="326">
        <f t="shared" si="2"/>
        <v>192013</v>
      </c>
      <c r="J12" s="326">
        <f t="shared" si="2"/>
        <v>166467</v>
      </c>
      <c r="K12" s="326">
        <f t="shared" si="2"/>
        <v>96536</v>
      </c>
      <c r="L12" s="326">
        <f t="shared" si="2"/>
        <v>79396</v>
      </c>
      <c r="M12" s="326">
        <f t="shared" si="2"/>
        <v>135079</v>
      </c>
      <c r="N12" s="326">
        <f t="shared" si="2"/>
        <v>56575</v>
      </c>
      <c r="O12" s="326">
        <f t="shared" si="2"/>
        <v>93849</v>
      </c>
      <c r="P12" s="326">
        <f t="shared" si="2"/>
        <v>87530</v>
      </c>
      <c r="Q12" s="326">
        <f t="shared" si="2"/>
        <v>0</v>
      </c>
      <c r="R12" s="326">
        <f t="shared" si="2"/>
        <v>0</v>
      </c>
      <c r="S12" s="326">
        <f t="shared" si="2"/>
        <v>890</v>
      </c>
      <c r="T12" s="325">
        <f>SUM(U12:AB12)</f>
        <v>648025</v>
      </c>
      <c r="U12" s="326">
        <f t="shared" si="2"/>
        <v>418626</v>
      </c>
      <c r="V12" s="326">
        <f t="shared" si="2"/>
        <v>35585</v>
      </c>
      <c r="W12" s="326">
        <f t="shared" si="2"/>
        <v>24773</v>
      </c>
      <c r="X12" s="326">
        <f t="shared" si="2"/>
        <v>111919</v>
      </c>
      <c r="Y12" s="326">
        <f t="shared" si="2"/>
        <v>42874</v>
      </c>
      <c r="Z12" s="326">
        <f t="shared" si="2"/>
        <v>0</v>
      </c>
      <c r="AA12" s="326">
        <f t="shared" si="2"/>
        <v>0</v>
      </c>
      <c r="AB12" s="326">
        <f t="shared" si="2"/>
        <v>14248</v>
      </c>
    </row>
    <row r="13" spans="1:28" s="125" customFormat="1" ht="15.95" customHeight="1">
      <c r="A13" s="327" t="s">
        <v>1707</v>
      </c>
      <c r="B13" s="326">
        <f>SUM(C13,T13)</f>
        <v>65450</v>
      </c>
      <c r="C13" s="326">
        <f>SUM(D13:S13)</f>
        <v>36450</v>
      </c>
      <c r="D13" s="326">
        <v>5500</v>
      </c>
      <c r="E13" s="326">
        <v>3900</v>
      </c>
      <c r="F13" s="326"/>
      <c r="G13" s="326">
        <v>720</v>
      </c>
      <c r="H13" s="326">
        <v>600</v>
      </c>
      <c r="I13" s="326">
        <v>450</v>
      </c>
      <c r="J13" s="326">
        <v>3400</v>
      </c>
      <c r="K13" s="326">
        <v>380</v>
      </c>
      <c r="L13" s="326">
        <v>1850</v>
      </c>
      <c r="M13" s="326">
        <v>1350</v>
      </c>
      <c r="N13" s="326"/>
      <c r="O13" s="326">
        <v>16270</v>
      </c>
      <c r="P13" s="326">
        <v>2030</v>
      </c>
      <c r="Q13" s="326"/>
      <c r="R13" s="326"/>
      <c r="S13" s="326"/>
      <c r="T13" s="326">
        <f>SUM(U13:AB13)</f>
        <v>29000</v>
      </c>
      <c r="U13" s="326">
        <v>11249</v>
      </c>
      <c r="V13" s="326">
        <v>3225</v>
      </c>
      <c r="W13" s="326">
        <v>1850</v>
      </c>
      <c r="X13" s="326"/>
      <c r="Y13" s="326">
        <v>12676</v>
      </c>
      <c r="Z13" s="326"/>
      <c r="AA13" s="326"/>
      <c r="AB13" s="326"/>
    </row>
    <row r="14" spans="1:28" s="125" customFormat="1" ht="15.95" customHeight="1">
      <c r="A14" s="327" t="s">
        <v>1708</v>
      </c>
      <c r="B14" s="326">
        <v>468100</v>
      </c>
      <c r="C14" s="326">
        <v>451400</v>
      </c>
      <c r="D14" s="326">
        <v>217900</v>
      </c>
      <c r="E14" s="326">
        <v>71000</v>
      </c>
      <c r="F14" s="326"/>
      <c r="G14" s="326">
        <v>32000</v>
      </c>
      <c r="H14" s="326">
        <v>10</v>
      </c>
      <c r="I14" s="326">
        <v>32600</v>
      </c>
      <c r="J14" s="326">
        <v>27400</v>
      </c>
      <c r="K14" s="326">
        <v>17800</v>
      </c>
      <c r="L14" s="326">
        <v>5900</v>
      </c>
      <c r="M14" s="326">
        <v>14000</v>
      </c>
      <c r="N14" s="326">
        <v>31500</v>
      </c>
      <c r="O14" s="326">
        <v>1200</v>
      </c>
      <c r="P14" s="326"/>
      <c r="Q14" s="326"/>
      <c r="R14" s="326"/>
      <c r="S14" s="326">
        <v>90</v>
      </c>
      <c r="T14" s="326">
        <v>16700</v>
      </c>
      <c r="U14" s="326">
        <v>9300</v>
      </c>
      <c r="V14" s="326">
        <v>3000</v>
      </c>
      <c r="W14" s="326">
        <v>1800</v>
      </c>
      <c r="X14" s="326"/>
      <c r="Y14" s="326">
        <v>2500</v>
      </c>
      <c r="Z14" s="326"/>
      <c r="AA14" s="326"/>
      <c r="AB14" s="326">
        <v>100</v>
      </c>
    </row>
    <row r="15" spans="1:28" s="125" customFormat="1" ht="15.95" customHeight="1">
      <c r="A15" s="327" t="s">
        <v>1709</v>
      </c>
      <c r="B15" s="326">
        <f>C15+T15</f>
        <v>291000</v>
      </c>
      <c r="C15" s="326">
        <f>SUM(D15:S15)</f>
        <v>271900</v>
      </c>
      <c r="D15" s="328">
        <v>122600</v>
      </c>
      <c r="E15" s="328">
        <v>33700</v>
      </c>
      <c r="F15" s="326"/>
      <c r="G15" s="328">
        <v>23600</v>
      </c>
      <c r="H15" s="328">
        <v>100</v>
      </c>
      <c r="I15" s="328">
        <v>18500</v>
      </c>
      <c r="J15" s="328">
        <v>21000</v>
      </c>
      <c r="K15" s="328">
        <v>7200</v>
      </c>
      <c r="L15" s="328">
        <v>6800</v>
      </c>
      <c r="M15" s="328">
        <v>16000</v>
      </c>
      <c r="N15" s="328">
        <v>17900</v>
      </c>
      <c r="O15" s="328">
        <v>4200</v>
      </c>
      <c r="P15" s="326"/>
      <c r="Q15" s="326"/>
      <c r="R15" s="326"/>
      <c r="S15" s="328">
        <v>300</v>
      </c>
      <c r="T15" s="326">
        <f>SUM(U15:AB15)</f>
        <v>19100</v>
      </c>
      <c r="U15" s="328">
        <v>6900</v>
      </c>
      <c r="V15" s="328">
        <v>4900</v>
      </c>
      <c r="W15" s="328">
        <v>4200</v>
      </c>
      <c r="X15" s="326"/>
      <c r="Y15" s="328">
        <v>3100</v>
      </c>
      <c r="Z15" s="326"/>
      <c r="AA15" s="326"/>
      <c r="AB15" s="326"/>
    </row>
    <row r="16" spans="1:28" s="125" customFormat="1" ht="15.95" customHeight="1">
      <c r="A16" s="327" t="s">
        <v>1710</v>
      </c>
      <c r="B16" s="326">
        <v>346900</v>
      </c>
      <c r="C16" s="326">
        <v>309050</v>
      </c>
      <c r="D16" s="326">
        <v>135500</v>
      </c>
      <c r="E16" s="326">
        <v>48400</v>
      </c>
      <c r="F16" s="326"/>
      <c r="G16" s="326">
        <v>22200</v>
      </c>
      <c r="H16" s="326">
        <v>700</v>
      </c>
      <c r="I16" s="326">
        <v>17500</v>
      </c>
      <c r="J16" s="326">
        <v>20000</v>
      </c>
      <c r="K16" s="326">
        <v>9050</v>
      </c>
      <c r="L16" s="326">
        <v>7500</v>
      </c>
      <c r="M16" s="326">
        <v>42900</v>
      </c>
      <c r="N16" s="326">
        <v>5300</v>
      </c>
      <c r="O16" s="326"/>
      <c r="P16" s="326"/>
      <c r="Q16" s="326"/>
      <c r="R16" s="326"/>
      <c r="S16" s="326"/>
      <c r="T16" s="326">
        <v>37850</v>
      </c>
      <c r="U16" s="326">
        <v>31780</v>
      </c>
      <c r="V16" s="326">
        <v>2100</v>
      </c>
      <c r="W16" s="326">
        <v>1200</v>
      </c>
      <c r="X16" s="326"/>
      <c r="Y16" s="326">
        <v>2070</v>
      </c>
      <c r="Z16" s="326"/>
      <c r="AA16" s="326"/>
      <c r="AB16" s="326">
        <v>700</v>
      </c>
    </row>
    <row r="17" spans="1:28" s="125" customFormat="1" ht="15.95" customHeight="1">
      <c r="A17" s="327" t="s">
        <v>1556</v>
      </c>
      <c r="B17" s="326">
        <v>456950</v>
      </c>
      <c r="C17" s="326">
        <v>330000</v>
      </c>
      <c r="D17" s="326">
        <v>150000</v>
      </c>
      <c r="E17" s="326">
        <v>16000</v>
      </c>
      <c r="F17" s="326"/>
      <c r="G17" s="326">
        <v>11000</v>
      </c>
      <c r="H17" s="326">
        <v>4400</v>
      </c>
      <c r="I17" s="326">
        <v>40000</v>
      </c>
      <c r="J17" s="326">
        <v>20000</v>
      </c>
      <c r="K17" s="326">
        <v>5000</v>
      </c>
      <c r="L17" s="326">
        <v>12000</v>
      </c>
      <c r="M17" s="326">
        <v>13000</v>
      </c>
      <c r="N17" s="326">
        <v>50</v>
      </c>
      <c r="O17" s="326">
        <v>27550</v>
      </c>
      <c r="P17" s="326">
        <v>31000</v>
      </c>
      <c r="Q17" s="326"/>
      <c r="R17" s="326"/>
      <c r="S17" s="326"/>
      <c r="T17" s="326">
        <v>126950</v>
      </c>
      <c r="U17" s="326">
        <v>114000</v>
      </c>
      <c r="V17" s="326">
        <v>5000</v>
      </c>
      <c r="W17" s="326">
        <v>5000</v>
      </c>
      <c r="X17" s="326"/>
      <c r="Y17" s="326"/>
      <c r="Z17" s="326"/>
      <c r="AA17" s="326"/>
      <c r="AB17" s="326">
        <v>2950</v>
      </c>
    </row>
    <row r="18" spans="1:28" s="125" customFormat="1" ht="15.95" customHeight="1">
      <c r="A18" s="327" t="s">
        <v>1557</v>
      </c>
      <c r="B18" s="326">
        <v>45006</v>
      </c>
      <c r="C18" s="326">
        <v>30113</v>
      </c>
      <c r="D18" s="326">
        <v>12094</v>
      </c>
      <c r="E18" s="326">
        <v>6374</v>
      </c>
      <c r="F18" s="326"/>
      <c r="G18" s="326">
        <v>1657</v>
      </c>
      <c r="H18" s="326">
        <v>2366</v>
      </c>
      <c r="I18" s="326">
        <v>963</v>
      </c>
      <c r="J18" s="326">
        <v>1767</v>
      </c>
      <c r="K18" s="326">
        <v>306</v>
      </c>
      <c r="L18" s="326">
        <v>1646</v>
      </c>
      <c r="M18" s="326">
        <v>1209</v>
      </c>
      <c r="N18" s="326">
        <v>2</v>
      </c>
      <c r="O18" s="326">
        <v>1729</v>
      </c>
      <c r="P18" s="326"/>
      <c r="Q18" s="326"/>
      <c r="R18" s="326"/>
      <c r="S18" s="326"/>
      <c r="T18" s="326">
        <v>14893</v>
      </c>
      <c r="U18" s="326">
        <v>1175</v>
      </c>
      <c r="V18" s="326">
        <v>360</v>
      </c>
      <c r="W18" s="326">
        <v>473</v>
      </c>
      <c r="X18" s="326">
        <v>1349</v>
      </c>
      <c r="Y18" s="326">
        <v>3408</v>
      </c>
      <c r="Z18" s="326"/>
      <c r="AA18" s="326"/>
      <c r="AB18" s="326">
        <v>8128</v>
      </c>
    </row>
    <row r="19" spans="1:28" s="125" customFormat="1" ht="15.95" customHeight="1">
      <c r="A19" s="327" t="s">
        <v>1558</v>
      </c>
      <c r="B19" s="326">
        <f>SUM(C19,T19)</f>
        <v>752070</v>
      </c>
      <c r="C19" s="326">
        <f>SUM(D19:S19)</f>
        <v>627500</v>
      </c>
      <c r="D19" s="326">
        <v>219800</v>
      </c>
      <c r="E19" s="326">
        <v>169000</v>
      </c>
      <c r="F19" s="326"/>
      <c r="G19" s="326">
        <v>56500</v>
      </c>
      <c r="H19" s="326"/>
      <c r="I19" s="326">
        <v>38500</v>
      </c>
      <c r="J19" s="326">
        <v>38000</v>
      </c>
      <c r="K19" s="326">
        <v>24000</v>
      </c>
      <c r="L19" s="326">
        <v>13000</v>
      </c>
      <c r="M19" s="326">
        <v>22400</v>
      </c>
      <c r="N19" s="326">
        <v>1300</v>
      </c>
      <c r="O19" s="326">
        <v>24500</v>
      </c>
      <c r="P19" s="326">
        <v>20500</v>
      </c>
      <c r="Q19" s="326"/>
      <c r="R19" s="326"/>
      <c r="S19" s="326"/>
      <c r="T19" s="326">
        <f>SUM(U19:AB19)</f>
        <v>124570</v>
      </c>
      <c r="U19" s="326">
        <v>108180</v>
      </c>
      <c r="V19" s="326">
        <v>5700</v>
      </c>
      <c r="W19" s="326">
        <v>4750</v>
      </c>
      <c r="X19" s="326">
        <v>1570</v>
      </c>
      <c r="Y19" s="326">
        <v>3100</v>
      </c>
      <c r="Z19" s="326"/>
      <c r="AA19" s="326"/>
      <c r="AB19" s="326">
        <v>1270</v>
      </c>
    </row>
    <row r="20" spans="1:28" s="125" customFormat="1" ht="15.95" customHeight="1">
      <c r="A20" s="327" t="s">
        <v>1559</v>
      </c>
      <c r="B20" s="326">
        <f>C20+T20</f>
        <v>828500</v>
      </c>
      <c r="C20" s="326">
        <f>SUM(D20:S20)</f>
        <v>550400</v>
      </c>
      <c r="D20" s="329">
        <v>224000</v>
      </c>
      <c r="E20" s="329">
        <v>95000</v>
      </c>
      <c r="F20" s="329"/>
      <c r="G20" s="329">
        <v>27600</v>
      </c>
      <c r="H20" s="329">
        <v>2</v>
      </c>
      <c r="I20" s="329">
        <v>39000</v>
      </c>
      <c r="J20" s="329">
        <v>29500</v>
      </c>
      <c r="K20" s="329">
        <v>31300</v>
      </c>
      <c r="L20" s="329">
        <v>27300</v>
      </c>
      <c r="M20" s="329">
        <v>24200</v>
      </c>
      <c r="N20" s="329">
        <v>498</v>
      </c>
      <c r="O20" s="329">
        <v>17500</v>
      </c>
      <c r="P20" s="329">
        <v>34000</v>
      </c>
      <c r="Q20" s="329"/>
      <c r="R20" s="329"/>
      <c r="S20" s="329">
        <v>500</v>
      </c>
      <c r="T20" s="326">
        <f>SUM(U20:AB20)</f>
        <v>278100</v>
      </c>
      <c r="U20" s="329">
        <v>135200</v>
      </c>
      <c r="V20" s="329">
        <v>11300</v>
      </c>
      <c r="W20" s="329">
        <v>5500</v>
      </c>
      <c r="X20" s="329">
        <v>109000</v>
      </c>
      <c r="Y20" s="329">
        <v>16000</v>
      </c>
      <c r="Z20" s="326"/>
      <c r="AA20" s="326"/>
      <c r="AB20" s="329">
        <v>1100</v>
      </c>
    </row>
    <row r="21" spans="1:28" s="126" customFormat="1" ht="15.95" customHeight="1">
      <c r="A21" s="327" t="s">
        <v>1560</v>
      </c>
      <c r="B21" s="326">
        <f>C21+T21</f>
        <v>46227</v>
      </c>
      <c r="C21" s="326">
        <f>SUM(D21:S21)</f>
        <v>45365</v>
      </c>
      <c r="D21" s="326">
        <v>23000</v>
      </c>
      <c r="E21" s="326">
        <v>5400</v>
      </c>
      <c r="F21" s="326"/>
      <c r="G21" s="326">
        <v>1220</v>
      </c>
      <c r="H21" s="326"/>
      <c r="I21" s="326">
        <v>4500</v>
      </c>
      <c r="J21" s="326">
        <v>5400</v>
      </c>
      <c r="K21" s="326">
        <v>1500</v>
      </c>
      <c r="L21" s="326">
        <v>3400</v>
      </c>
      <c r="M21" s="326">
        <v>20</v>
      </c>
      <c r="N21" s="326">
        <v>25</v>
      </c>
      <c r="O21" s="326">
        <v>900</v>
      </c>
      <c r="P21" s="326"/>
      <c r="Q21" s="326"/>
      <c r="R21" s="326"/>
      <c r="S21" s="326"/>
      <c r="T21" s="326">
        <f>SUM(U21:AB21)</f>
        <v>862</v>
      </c>
      <c r="U21" s="326">
        <v>842</v>
      </c>
      <c r="V21" s="326"/>
      <c r="W21" s="326"/>
      <c r="X21" s="326"/>
      <c r="Y21" s="326">
        <v>20</v>
      </c>
      <c r="Z21" s="326"/>
      <c r="AA21" s="326"/>
      <c r="AB21" s="326"/>
    </row>
    <row r="22" spans="1:28" s="132" customFormat="1" ht="15.95" customHeight="1">
      <c r="A22" s="330" t="s">
        <v>1561</v>
      </c>
      <c r="B22" s="331">
        <f>B23+B24</f>
        <v>852065</v>
      </c>
      <c r="C22" s="331">
        <f t="shared" ref="C22:AB22" si="3">C23+C24</f>
        <v>600480</v>
      </c>
      <c r="D22" s="331">
        <f t="shared" si="3"/>
        <v>277385</v>
      </c>
      <c r="E22" s="331">
        <f t="shared" si="3"/>
        <v>45178</v>
      </c>
      <c r="F22" s="331">
        <f t="shared" si="3"/>
        <v>0</v>
      </c>
      <c r="G22" s="331">
        <f t="shared" si="3"/>
        <v>33045</v>
      </c>
      <c r="H22" s="331">
        <f t="shared" si="3"/>
        <v>25968</v>
      </c>
      <c r="I22" s="331">
        <f t="shared" si="3"/>
        <v>64026</v>
      </c>
      <c r="J22" s="331">
        <f t="shared" si="3"/>
        <v>21547</v>
      </c>
      <c r="K22" s="331">
        <f t="shared" si="3"/>
        <v>8430</v>
      </c>
      <c r="L22" s="331">
        <f t="shared" si="3"/>
        <v>79098</v>
      </c>
      <c r="M22" s="331">
        <f t="shared" si="3"/>
        <v>5570</v>
      </c>
      <c r="N22" s="331">
        <f t="shared" si="3"/>
        <v>8230</v>
      </c>
      <c r="O22" s="331">
        <f t="shared" si="3"/>
        <v>15653</v>
      </c>
      <c r="P22" s="331">
        <f t="shared" si="3"/>
        <v>14550</v>
      </c>
      <c r="Q22" s="331">
        <f t="shared" si="3"/>
        <v>0</v>
      </c>
      <c r="R22" s="331">
        <f t="shared" si="3"/>
        <v>1800</v>
      </c>
      <c r="S22" s="331">
        <f t="shared" si="3"/>
        <v>0</v>
      </c>
      <c r="T22" s="331">
        <f t="shared" si="3"/>
        <v>251585</v>
      </c>
      <c r="U22" s="331">
        <f t="shared" si="3"/>
        <v>72093</v>
      </c>
      <c r="V22" s="331">
        <f t="shared" si="3"/>
        <v>18093</v>
      </c>
      <c r="W22" s="331">
        <f t="shared" si="3"/>
        <v>12254</v>
      </c>
      <c r="X22" s="331">
        <f t="shared" si="3"/>
        <v>106025</v>
      </c>
      <c r="Y22" s="331">
        <f t="shared" si="3"/>
        <v>13493</v>
      </c>
      <c r="Z22" s="331">
        <f t="shared" si="3"/>
        <v>0</v>
      </c>
      <c r="AA22" s="331">
        <f t="shared" si="3"/>
        <v>7957</v>
      </c>
      <c r="AB22" s="331">
        <f t="shared" si="3"/>
        <v>21670</v>
      </c>
    </row>
    <row r="23" spans="1:28" s="132" customFormat="1" ht="15.95" customHeight="1">
      <c r="A23" s="332" t="s">
        <v>1562</v>
      </c>
      <c r="B23" s="331">
        <f>SUM(C23,T23)</f>
        <v>448500</v>
      </c>
      <c r="C23" s="331">
        <f>SUM(D23:S23)</f>
        <v>300800</v>
      </c>
      <c r="D23" s="331">
        <v>146770</v>
      </c>
      <c r="E23" s="331">
        <v>20948</v>
      </c>
      <c r="F23" s="331"/>
      <c r="G23" s="331"/>
      <c r="H23" s="331">
        <v>24913</v>
      </c>
      <c r="I23" s="331">
        <v>24239</v>
      </c>
      <c r="J23" s="331">
        <v>3597</v>
      </c>
      <c r="K23" s="331">
        <v>3380</v>
      </c>
      <c r="L23" s="331">
        <v>61100</v>
      </c>
      <c r="M23" s="331"/>
      <c r="N23" s="331"/>
      <c r="O23" s="331">
        <v>14053</v>
      </c>
      <c r="P23" s="331"/>
      <c r="Q23" s="331"/>
      <c r="R23" s="331">
        <v>1800</v>
      </c>
      <c r="S23" s="331"/>
      <c r="T23" s="331">
        <f>SUM(U23:AB23)</f>
        <v>147700</v>
      </c>
      <c r="U23" s="331">
        <v>28600</v>
      </c>
      <c r="V23" s="331">
        <v>12500</v>
      </c>
      <c r="W23" s="331">
        <v>6500</v>
      </c>
      <c r="X23" s="331">
        <v>65000</v>
      </c>
      <c r="Y23" s="331">
        <v>6000</v>
      </c>
      <c r="Z23" s="331"/>
      <c r="AA23" s="331">
        <v>7500</v>
      </c>
      <c r="AB23" s="331">
        <v>21600</v>
      </c>
    </row>
    <row r="24" spans="1:28" s="132" customFormat="1" ht="15.95" customHeight="1">
      <c r="A24" s="332" t="s">
        <v>1194</v>
      </c>
      <c r="B24" s="331">
        <f>SUM(B25:B28)</f>
        <v>403565</v>
      </c>
      <c r="C24" s="331">
        <f>SUM(C25:C28)</f>
        <v>299680</v>
      </c>
      <c r="D24" s="331">
        <f t="shared" ref="D24:AB24" si="4">SUM(D25:D28)</f>
        <v>130615</v>
      </c>
      <c r="E24" s="331">
        <f t="shared" si="4"/>
        <v>24230</v>
      </c>
      <c r="F24" s="331">
        <f t="shared" si="4"/>
        <v>0</v>
      </c>
      <c r="G24" s="331">
        <f t="shared" si="4"/>
        <v>33045</v>
      </c>
      <c r="H24" s="331">
        <f t="shared" si="4"/>
        <v>1055</v>
      </c>
      <c r="I24" s="331">
        <f t="shared" si="4"/>
        <v>39787</v>
      </c>
      <c r="J24" s="331">
        <f t="shared" si="4"/>
        <v>17950</v>
      </c>
      <c r="K24" s="331">
        <f t="shared" si="4"/>
        <v>5050</v>
      </c>
      <c r="L24" s="331">
        <f t="shared" si="4"/>
        <v>17998</v>
      </c>
      <c r="M24" s="331">
        <f t="shared" si="4"/>
        <v>5570</v>
      </c>
      <c r="N24" s="331">
        <f t="shared" si="4"/>
        <v>8230</v>
      </c>
      <c r="O24" s="331">
        <f t="shared" si="4"/>
        <v>1600</v>
      </c>
      <c r="P24" s="331">
        <f t="shared" si="4"/>
        <v>14550</v>
      </c>
      <c r="Q24" s="331">
        <f t="shared" si="4"/>
        <v>0</v>
      </c>
      <c r="R24" s="331">
        <f t="shared" si="4"/>
        <v>0</v>
      </c>
      <c r="S24" s="331">
        <f t="shared" si="4"/>
        <v>0</v>
      </c>
      <c r="T24" s="331">
        <f t="shared" si="4"/>
        <v>103885</v>
      </c>
      <c r="U24" s="331">
        <f t="shared" si="4"/>
        <v>43493</v>
      </c>
      <c r="V24" s="331">
        <f t="shared" si="4"/>
        <v>5593</v>
      </c>
      <c r="W24" s="331">
        <f t="shared" si="4"/>
        <v>5754</v>
      </c>
      <c r="X24" s="331">
        <f t="shared" si="4"/>
        <v>41025</v>
      </c>
      <c r="Y24" s="331">
        <f t="shared" si="4"/>
        <v>7493</v>
      </c>
      <c r="Z24" s="331">
        <f t="shared" si="4"/>
        <v>0</v>
      </c>
      <c r="AA24" s="331">
        <f t="shared" si="4"/>
        <v>457</v>
      </c>
      <c r="AB24" s="331">
        <f t="shared" si="4"/>
        <v>70</v>
      </c>
    </row>
    <row r="25" spans="1:28" s="132" customFormat="1" ht="15.95" customHeight="1">
      <c r="A25" s="332" t="s">
        <v>1563</v>
      </c>
      <c r="B25" s="331">
        <f t="shared" ref="B25:B28" si="5">SUM(C25,T25)</f>
        <v>213900</v>
      </c>
      <c r="C25" s="331">
        <f>SUM(D25:S25)</f>
        <v>169600</v>
      </c>
      <c r="D25" s="331">
        <v>74770</v>
      </c>
      <c r="E25" s="331">
        <v>15000</v>
      </c>
      <c r="F25" s="331"/>
      <c r="G25" s="331">
        <v>21000</v>
      </c>
      <c r="H25" s="331">
        <v>30</v>
      </c>
      <c r="I25" s="331">
        <v>11000</v>
      </c>
      <c r="J25" s="331">
        <v>12000</v>
      </c>
      <c r="K25" s="331">
        <v>3800</v>
      </c>
      <c r="L25" s="331">
        <v>7000</v>
      </c>
      <c r="M25" s="331">
        <v>5000</v>
      </c>
      <c r="N25" s="331">
        <v>6000</v>
      </c>
      <c r="O25" s="331">
        <v>1000</v>
      </c>
      <c r="P25" s="331">
        <v>13000</v>
      </c>
      <c r="Q25" s="331"/>
      <c r="R25" s="331"/>
      <c r="S25" s="331"/>
      <c r="T25" s="331">
        <f>SUM(U25:AB25)</f>
        <v>44300</v>
      </c>
      <c r="U25" s="331">
        <v>12000</v>
      </c>
      <c r="V25" s="331">
        <v>3000</v>
      </c>
      <c r="W25" s="331">
        <v>4000</v>
      </c>
      <c r="X25" s="331">
        <v>23000</v>
      </c>
      <c r="Y25" s="331">
        <v>2000</v>
      </c>
      <c r="Z25" s="331"/>
      <c r="AA25" s="331">
        <v>300</v>
      </c>
      <c r="AB25" s="331"/>
    </row>
    <row r="26" spans="1:28" s="132" customFormat="1" ht="15.95" customHeight="1">
      <c r="A26" s="332" t="s">
        <v>1564</v>
      </c>
      <c r="B26" s="331">
        <f t="shared" si="5"/>
        <v>103000</v>
      </c>
      <c r="C26" s="331">
        <f t="shared" ref="C26:C28" si="6">SUM(D26:S26)</f>
        <v>67092</v>
      </c>
      <c r="D26" s="331">
        <v>20735</v>
      </c>
      <c r="E26" s="331">
        <v>2000</v>
      </c>
      <c r="F26" s="331"/>
      <c r="G26" s="331">
        <v>2920</v>
      </c>
      <c r="H26" s="331"/>
      <c r="I26" s="331">
        <v>25087</v>
      </c>
      <c r="J26" s="331">
        <v>4000</v>
      </c>
      <c r="K26" s="331">
        <v>450</v>
      </c>
      <c r="L26" s="331">
        <v>9000</v>
      </c>
      <c r="M26" s="331">
        <v>500</v>
      </c>
      <c r="N26" s="331">
        <v>1300</v>
      </c>
      <c r="O26" s="331"/>
      <c r="P26" s="331">
        <v>1100</v>
      </c>
      <c r="Q26" s="331"/>
      <c r="R26" s="331"/>
      <c r="S26" s="331"/>
      <c r="T26" s="331">
        <f t="shared" ref="T26:T28" si="7">SUM(U26:AB26)</f>
        <v>35908</v>
      </c>
      <c r="U26" s="331">
        <v>27828</v>
      </c>
      <c r="V26" s="331">
        <v>450</v>
      </c>
      <c r="W26" s="331">
        <v>500</v>
      </c>
      <c r="X26" s="331">
        <v>5000</v>
      </c>
      <c r="Y26" s="331">
        <v>2130</v>
      </c>
      <c r="Z26" s="331"/>
      <c r="AA26" s="331"/>
      <c r="AB26" s="331"/>
    </row>
    <row r="27" spans="1:28" s="132" customFormat="1" ht="15.95" customHeight="1">
      <c r="A27" s="332" t="s">
        <v>1565</v>
      </c>
      <c r="B27" s="331">
        <f t="shared" si="5"/>
        <v>70851</v>
      </c>
      <c r="C27" s="331">
        <f t="shared" si="6"/>
        <v>51988</v>
      </c>
      <c r="D27" s="331">
        <v>30000</v>
      </c>
      <c r="E27" s="331">
        <v>5500</v>
      </c>
      <c r="F27" s="331"/>
      <c r="G27" s="331">
        <v>7000</v>
      </c>
      <c r="H27" s="331">
        <v>1000</v>
      </c>
      <c r="I27" s="331">
        <v>3000</v>
      </c>
      <c r="J27" s="331">
        <v>1550</v>
      </c>
      <c r="K27" s="331">
        <v>600</v>
      </c>
      <c r="L27" s="331">
        <v>1738</v>
      </c>
      <c r="M27" s="331">
        <v>50</v>
      </c>
      <c r="N27" s="331">
        <v>800</v>
      </c>
      <c r="O27" s="331">
        <v>500</v>
      </c>
      <c r="P27" s="331">
        <v>250</v>
      </c>
      <c r="Q27" s="331"/>
      <c r="R27" s="331"/>
      <c r="S27" s="331"/>
      <c r="T27" s="331">
        <f t="shared" si="7"/>
        <v>18863</v>
      </c>
      <c r="U27" s="331">
        <v>2865</v>
      </c>
      <c r="V27" s="331">
        <v>340</v>
      </c>
      <c r="W27" s="331">
        <v>580</v>
      </c>
      <c r="X27" s="331">
        <v>13025</v>
      </c>
      <c r="Y27" s="331">
        <v>1863</v>
      </c>
      <c r="Z27" s="331"/>
      <c r="AA27" s="331">
        <v>120</v>
      </c>
      <c r="AB27" s="331">
        <v>70</v>
      </c>
    </row>
    <row r="28" spans="1:28" s="132" customFormat="1" ht="15.95" customHeight="1">
      <c r="A28" s="333" t="s">
        <v>1566</v>
      </c>
      <c r="B28" s="331">
        <f t="shared" si="5"/>
        <v>15814</v>
      </c>
      <c r="C28" s="331">
        <f t="shared" si="6"/>
        <v>11000</v>
      </c>
      <c r="D28" s="331">
        <v>5110</v>
      </c>
      <c r="E28" s="331">
        <v>1730</v>
      </c>
      <c r="F28" s="331"/>
      <c r="G28" s="331">
        <v>2125</v>
      </c>
      <c r="H28" s="331">
        <v>25</v>
      </c>
      <c r="I28" s="331">
        <v>700</v>
      </c>
      <c r="J28" s="331">
        <v>400</v>
      </c>
      <c r="K28" s="331">
        <v>200</v>
      </c>
      <c r="L28" s="331">
        <v>260</v>
      </c>
      <c r="M28" s="331">
        <v>20</v>
      </c>
      <c r="N28" s="331">
        <v>130</v>
      </c>
      <c r="O28" s="331">
        <v>100</v>
      </c>
      <c r="P28" s="331">
        <v>200</v>
      </c>
      <c r="Q28" s="331"/>
      <c r="R28" s="331"/>
      <c r="S28" s="331"/>
      <c r="T28" s="331">
        <f t="shared" si="7"/>
        <v>4814</v>
      </c>
      <c r="U28" s="331">
        <v>800</v>
      </c>
      <c r="V28" s="331">
        <v>1803</v>
      </c>
      <c r="W28" s="331">
        <v>674</v>
      </c>
      <c r="X28" s="331"/>
      <c r="Y28" s="331">
        <v>1500</v>
      </c>
      <c r="Z28" s="331"/>
      <c r="AA28" s="331">
        <v>37</v>
      </c>
      <c r="AB28" s="331"/>
    </row>
    <row r="29" spans="1:28" s="137" customFormat="1" ht="15.95" customHeight="1">
      <c r="A29" s="334" t="s">
        <v>1567</v>
      </c>
      <c r="B29" s="331">
        <v>1177638</v>
      </c>
      <c r="C29" s="331">
        <v>829772</v>
      </c>
      <c r="D29" s="331">
        <v>335357</v>
      </c>
      <c r="E29" s="331">
        <v>67226</v>
      </c>
      <c r="F29" s="331">
        <v>0</v>
      </c>
      <c r="G29" s="331">
        <v>65017</v>
      </c>
      <c r="H29" s="331">
        <v>23518</v>
      </c>
      <c r="I29" s="331">
        <v>40452</v>
      </c>
      <c r="J29" s="331">
        <v>37045</v>
      </c>
      <c r="K29" s="331">
        <v>15796</v>
      </c>
      <c r="L29" s="331">
        <v>43308</v>
      </c>
      <c r="M29" s="331">
        <v>64989</v>
      </c>
      <c r="N29" s="331">
        <v>21379</v>
      </c>
      <c r="O29" s="331">
        <v>59914</v>
      </c>
      <c r="P29" s="331">
        <v>51891</v>
      </c>
      <c r="Q29" s="331">
        <v>0</v>
      </c>
      <c r="R29" s="331">
        <v>3880</v>
      </c>
      <c r="S29" s="331">
        <v>0</v>
      </c>
      <c r="T29" s="331">
        <v>347866</v>
      </c>
      <c r="U29" s="331">
        <v>39513</v>
      </c>
      <c r="V29" s="331">
        <v>38936</v>
      </c>
      <c r="W29" s="331">
        <v>27053</v>
      </c>
      <c r="X29" s="331">
        <v>21000</v>
      </c>
      <c r="Y29" s="331">
        <v>182547</v>
      </c>
      <c r="Z29" s="331">
        <v>3150</v>
      </c>
      <c r="AA29" s="331">
        <v>6183</v>
      </c>
      <c r="AB29" s="331">
        <v>29484</v>
      </c>
    </row>
    <row r="30" spans="1:28" s="137" customFormat="1" ht="15.95" customHeight="1">
      <c r="A30" s="335" t="s">
        <v>1568</v>
      </c>
      <c r="B30" s="331">
        <v>58881</v>
      </c>
      <c r="C30" s="331">
        <v>4005</v>
      </c>
      <c r="D30" s="331"/>
      <c r="E30" s="336">
        <v>125</v>
      </c>
      <c r="F30" s="336"/>
      <c r="G30" s="336"/>
      <c r="H30" s="336"/>
      <c r="I30" s="336"/>
      <c r="J30" s="336"/>
      <c r="K30" s="336"/>
      <c r="L30" s="336"/>
      <c r="M30" s="336"/>
      <c r="N30" s="336"/>
      <c r="O30" s="336"/>
      <c r="P30" s="336"/>
      <c r="Q30" s="336"/>
      <c r="R30" s="336">
        <v>3880</v>
      </c>
      <c r="S30" s="331"/>
      <c r="T30" s="331">
        <v>54876</v>
      </c>
      <c r="U30" s="336">
        <v>1830</v>
      </c>
      <c r="V30" s="336">
        <v>9280</v>
      </c>
      <c r="W30" s="336">
        <v>3700</v>
      </c>
      <c r="X30" s="336"/>
      <c r="Y30" s="336">
        <v>11890</v>
      </c>
      <c r="Z30" s="336"/>
      <c r="AA30" s="336"/>
      <c r="AB30" s="336">
        <v>28176</v>
      </c>
    </row>
    <row r="31" spans="1:28" ht="15.95" customHeight="1">
      <c r="A31" s="332" t="s">
        <v>1569</v>
      </c>
      <c r="B31" s="331">
        <v>380</v>
      </c>
      <c r="C31" s="331">
        <v>370</v>
      </c>
      <c r="D31" s="331">
        <v>58</v>
      </c>
      <c r="E31" s="331">
        <v>2</v>
      </c>
      <c r="F31" s="331"/>
      <c r="G31" s="331">
        <v>7</v>
      </c>
      <c r="H31" s="331"/>
      <c r="I31" s="331">
        <v>2</v>
      </c>
      <c r="J31" s="331"/>
      <c r="K31" s="331">
        <v>295</v>
      </c>
      <c r="L31" s="331"/>
      <c r="M31" s="331">
        <v>1</v>
      </c>
      <c r="N31" s="331"/>
      <c r="O31" s="331"/>
      <c r="P31" s="331">
        <v>5</v>
      </c>
      <c r="Q31" s="331"/>
      <c r="R31" s="331"/>
      <c r="S31" s="331"/>
      <c r="T31" s="331">
        <v>10</v>
      </c>
      <c r="U31" s="331">
        <v>5</v>
      </c>
      <c r="V31" s="331"/>
      <c r="W31" s="331"/>
      <c r="X31" s="331"/>
      <c r="Y31" s="331">
        <v>5</v>
      </c>
      <c r="Z31" s="331"/>
      <c r="AA31" s="331"/>
      <c r="AB31" s="331">
        <v>0</v>
      </c>
    </row>
    <row r="32" spans="1:28" ht="15.95" customHeight="1">
      <c r="A32" s="332" t="s">
        <v>1194</v>
      </c>
      <c r="B32" s="331">
        <v>1118377</v>
      </c>
      <c r="C32" s="331">
        <v>825397</v>
      </c>
      <c r="D32" s="331">
        <v>335299</v>
      </c>
      <c r="E32" s="331">
        <v>67099</v>
      </c>
      <c r="F32" s="331">
        <v>0</v>
      </c>
      <c r="G32" s="331">
        <v>65010</v>
      </c>
      <c r="H32" s="331">
        <v>23518</v>
      </c>
      <c r="I32" s="331">
        <v>40450</v>
      </c>
      <c r="J32" s="331">
        <v>37045</v>
      </c>
      <c r="K32" s="331">
        <v>15501</v>
      </c>
      <c r="L32" s="331">
        <v>43308</v>
      </c>
      <c r="M32" s="331">
        <v>64988</v>
      </c>
      <c r="N32" s="331">
        <v>21379</v>
      </c>
      <c r="O32" s="331">
        <v>59914</v>
      </c>
      <c r="P32" s="331">
        <v>51886</v>
      </c>
      <c r="Q32" s="331">
        <v>0</v>
      </c>
      <c r="R32" s="331">
        <v>0</v>
      </c>
      <c r="S32" s="331">
        <v>0</v>
      </c>
      <c r="T32" s="331">
        <v>292980</v>
      </c>
      <c r="U32" s="331">
        <v>37678</v>
      </c>
      <c r="V32" s="331">
        <v>29656</v>
      </c>
      <c r="W32" s="331">
        <v>23353</v>
      </c>
      <c r="X32" s="331">
        <v>21000</v>
      </c>
      <c r="Y32" s="331">
        <v>170652</v>
      </c>
      <c r="Z32" s="331">
        <v>3150</v>
      </c>
      <c r="AA32" s="331">
        <v>6183</v>
      </c>
      <c r="AB32" s="331">
        <v>1308</v>
      </c>
    </row>
    <row r="33" spans="1:28" ht="15.95" customHeight="1">
      <c r="A33" s="332" t="s">
        <v>1570</v>
      </c>
      <c r="B33" s="331">
        <v>260042</v>
      </c>
      <c r="C33" s="331">
        <v>213842</v>
      </c>
      <c r="D33" s="331">
        <v>75000</v>
      </c>
      <c r="E33" s="331">
        <v>19500</v>
      </c>
      <c r="F33" s="331"/>
      <c r="G33" s="331">
        <v>12000</v>
      </c>
      <c r="H33" s="331">
        <v>220</v>
      </c>
      <c r="I33" s="331">
        <v>12000</v>
      </c>
      <c r="J33" s="331">
        <v>11500</v>
      </c>
      <c r="K33" s="331">
        <v>3800</v>
      </c>
      <c r="L33" s="331">
        <v>12022</v>
      </c>
      <c r="M33" s="331">
        <v>17500</v>
      </c>
      <c r="N33" s="331">
        <v>9300</v>
      </c>
      <c r="O33" s="331">
        <v>15000</v>
      </c>
      <c r="P33" s="331">
        <v>26000</v>
      </c>
      <c r="Q33" s="331"/>
      <c r="R33" s="331"/>
      <c r="S33" s="331"/>
      <c r="T33" s="331">
        <v>46200</v>
      </c>
      <c r="U33" s="331">
        <v>9500</v>
      </c>
      <c r="V33" s="331">
        <v>8500</v>
      </c>
      <c r="W33" s="331">
        <v>6500</v>
      </c>
      <c r="X33" s="331">
        <v>17000</v>
      </c>
      <c r="Y33" s="331">
        <v>2500</v>
      </c>
      <c r="Z33" s="331"/>
      <c r="AA33" s="331">
        <v>2200</v>
      </c>
      <c r="AB33" s="331"/>
    </row>
    <row r="34" spans="1:28" ht="15.95" customHeight="1">
      <c r="A34" s="332" t="s">
        <v>1571</v>
      </c>
      <c r="B34" s="331">
        <v>144786</v>
      </c>
      <c r="C34" s="331">
        <v>108653</v>
      </c>
      <c r="D34" s="331">
        <v>39080</v>
      </c>
      <c r="E34" s="331">
        <v>13202</v>
      </c>
      <c r="F34" s="331"/>
      <c r="G34" s="331">
        <v>3008</v>
      </c>
      <c r="H34" s="331">
        <v>40</v>
      </c>
      <c r="I34" s="331">
        <v>5841</v>
      </c>
      <c r="J34" s="331">
        <v>6627</v>
      </c>
      <c r="K34" s="331">
        <v>2800</v>
      </c>
      <c r="L34" s="331">
        <v>14448</v>
      </c>
      <c r="M34" s="331">
        <v>8141</v>
      </c>
      <c r="N34" s="331">
        <v>3336</v>
      </c>
      <c r="O34" s="331">
        <v>7055</v>
      </c>
      <c r="P34" s="331">
        <v>5075</v>
      </c>
      <c r="Q34" s="331"/>
      <c r="R34" s="331"/>
      <c r="S34" s="331"/>
      <c r="T34" s="331">
        <v>36133</v>
      </c>
      <c r="U34" s="331">
        <v>3130</v>
      </c>
      <c r="V34" s="331">
        <v>5527</v>
      </c>
      <c r="W34" s="331">
        <v>4332</v>
      </c>
      <c r="X34" s="331"/>
      <c r="Y34" s="331">
        <v>20590</v>
      </c>
      <c r="Z34" s="331"/>
      <c r="AA34" s="331">
        <v>2554</v>
      </c>
      <c r="AB34" s="331"/>
    </row>
    <row r="35" spans="1:28" ht="15.95" customHeight="1">
      <c r="A35" s="332" t="s">
        <v>1572</v>
      </c>
      <c r="B35" s="331">
        <v>387924</v>
      </c>
      <c r="C35" s="331">
        <v>271547</v>
      </c>
      <c r="D35" s="331">
        <v>120101</v>
      </c>
      <c r="E35" s="331">
        <v>11284</v>
      </c>
      <c r="F35" s="331">
        <v>0</v>
      </c>
      <c r="G35" s="331">
        <v>39182</v>
      </c>
      <c r="H35" s="331">
        <v>13</v>
      </c>
      <c r="I35" s="331">
        <v>15615</v>
      </c>
      <c r="J35" s="331">
        <v>6683</v>
      </c>
      <c r="K35" s="331">
        <v>5278</v>
      </c>
      <c r="L35" s="331">
        <v>7885</v>
      </c>
      <c r="M35" s="331">
        <v>33727</v>
      </c>
      <c r="N35" s="331">
        <v>1201</v>
      </c>
      <c r="O35" s="331">
        <v>20928</v>
      </c>
      <c r="P35" s="331">
        <v>9650</v>
      </c>
      <c r="Q35" s="331">
        <v>0</v>
      </c>
      <c r="R35" s="331">
        <v>0</v>
      </c>
      <c r="S35" s="331">
        <v>0</v>
      </c>
      <c r="T35" s="331">
        <v>116377</v>
      </c>
      <c r="U35" s="331">
        <v>10864</v>
      </c>
      <c r="V35" s="331">
        <v>1000</v>
      </c>
      <c r="W35" s="331">
        <v>628</v>
      </c>
      <c r="X35" s="331">
        <v>0</v>
      </c>
      <c r="Y35" s="331">
        <v>103885</v>
      </c>
      <c r="Z35" s="331"/>
      <c r="AA35" s="331"/>
      <c r="AB35" s="331"/>
    </row>
    <row r="36" spans="1:28" ht="15.95" customHeight="1">
      <c r="A36" s="333" t="s">
        <v>1573</v>
      </c>
      <c r="B36" s="331">
        <v>63390</v>
      </c>
      <c r="C36" s="331">
        <v>51890</v>
      </c>
      <c r="D36" s="331">
        <v>16990</v>
      </c>
      <c r="E36" s="331">
        <v>6500</v>
      </c>
      <c r="F36" s="331"/>
      <c r="G36" s="331">
        <v>1500</v>
      </c>
      <c r="H36" s="331">
        <v>12000</v>
      </c>
      <c r="I36" s="331">
        <v>1300</v>
      </c>
      <c r="J36" s="331">
        <v>5100</v>
      </c>
      <c r="K36" s="331">
        <v>900</v>
      </c>
      <c r="L36" s="331">
        <v>3000</v>
      </c>
      <c r="M36" s="331">
        <v>400</v>
      </c>
      <c r="N36" s="331">
        <v>1200</v>
      </c>
      <c r="O36" s="331">
        <v>1700</v>
      </c>
      <c r="P36" s="331">
        <v>1300</v>
      </c>
      <c r="Q36" s="331"/>
      <c r="R36" s="331"/>
      <c r="S36" s="331"/>
      <c r="T36" s="331">
        <v>11500</v>
      </c>
      <c r="U36" s="331">
        <v>4130</v>
      </c>
      <c r="V36" s="331">
        <v>2100</v>
      </c>
      <c r="W36" s="331">
        <v>3000</v>
      </c>
      <c r="X36" s="331">
        <v>150</v>
      </c>
      <c r="Y36" s="331">
        <v>1900</v>
      </c>
      <c r="Z36" s="331"/>
      <c r="AA36" s="331">
        <v>220</v>
      </c>
      <c r="AB36" s="331"/>
    </row>
    <row r="37" spans="1:28" ht="15.95" customHeight="1">
      <c r="A37" s="333" t="s">
        <v>1574</v>
      </c>
      <c r="B37" s="331">
        <v>42490</v>
      </c>
      <c r="C37" s="331">
        <v>25645</v>
      </c>
      <c r="D37" s="331">
        <v>9989</v>
      </c>
      <c r="E37" s="331">
        <v>3825</v>
      </c>
      <c r="F37" s="331"/>
      <c r="G37" s="331">
        <v>756</v>
      </c>
      <c r="H37" s="331">
        <v>1900</v>
      </c>
      <c r="I37" s="331">
        <v>710</v>
      </c>
      <c r="J37" s="331">
        <v>1385</v>
      </c>
      <c r="K37" s="331">
        <v>450</v>
      </c>
      <c r="L37" s="331">
        <v>1600</v>
      </c>
      <c r="M37" s="331">
        <v>310</v>
      </c>
      <c r="N37" s="331">
        <v>920</v>
      </c>
      <c r="O37" s="331">
        <v>2800</v>
      </c>
      <c r="P37" s="331">
        <v>1000</v>
      </c>
      <c r="Q37" s="331"/>
      <c r="R37" s="331"/>
      <c r="S37" s="331"/>
      <c r="T37" s="331">
        <v>16845</v>
      </c>
      <c r="U37" s="331">
        <v>1100</v>
      </c>
      <c r="V37" s="331">
        <v>7152</v>
      </c>
      <c r="W37" s="331">
        <v>1500</v>
      </c>
      <c r="X37" s="331">
        <v>1350</v>
      </c>
      <c r="Y37" s="331">
        <v>4803</v>
      </c>
      <c r="Z37" s="331">
        <v>650</v>
      </c>
      <c r="AA37" s="331">
        <v>290</v>
      </c>
      <c r="AB37" s="331"/>
    </row>
    <row r="38" spans="1:28" ht="15.95" customHeight="1">
      <c r="A38" s="333" t="s">
        <v>1575</v>
      </c>
      <c r="B38" s="331">
        <v>43741</v>
      </c>
      <c r="C38" s="331">
        <v>32315</v>
      </c>
      <c r="D38" s="331">
        <v>14355</v>
      </c>
      <c r="E38" s="331">
        <v>1800</v>
      </c>
      <c r="F38" s="331"/>
      <c r="G38" s="331">
        <v>1800</v>
      </c>
      <c r="H38" s="331">
        <v>2800</v>
      </c>
      <c r="I38" s="331">
        <v>950</v>
      </c>
      <c r="J38" s="331">
        <v>1850</v>
      </c>
      <c r="K38" s="331">
        <v>380</v>
      </c>
      <c r="L38" s="331">
        <v>1200</v>
      </c>
      <c r="M38" s="331">
        <v>1180</v>
      </c>
      <c r="N38" s="331">
        <v>1450</v>
      </c>
      <c r="O38" s="331">
        <v>2350</v>
      </c>
      <c r="P38" s="331">
        <v>2200</v>
      </c>
      <c r="Q38" s="331"/>
      <c r="R38" s="331"/>
      <c r="S38" s="331"/>
      <c r="T38" s="331">
        <v>11426</v>
      </c>
      <c r="U38" s="331">
        <v>1050</v>
      </c>
      <c r="V38" s="331">
        <v>980</v>
      </c>
      <c r="W38" s="331">
        <v>1800</v>
      </c>
      <c r="X38" s="331"/>
      <c r="Y38" s="331">
        <v>7396</v>
      </c>
      <c r="Z38" s="331">
        <v>200</v>
      </c>
      <c r="AA38" s="331"/>
      <c r="AB38" s="331"/>
    </row>
    <row r="39" spans="1:28" ht="15.95" customHeight="1">
      <c r="A39" s="333" t="s">
        <v>1576</v>
      </c>
      <c r="B39" s="331">
        <v>38701</v>
      </c>
      <c r="C39" s="331">
        <v>28550</v>
      </c>
      <c r="D39" s="331">
        <v>15304</v>
      </c>
      <c r="E39" s="331">
        <v>3009</v>
      </c>
      <c r="F39" s="331"/>
      <c r="G39" s="331">
        <v>685</v>
      </c>
      <c r="H39" s="331">
        <v>1480</v>
      </c>
      <c r="I39" s="331">
        <v>683</v>
      </c>
      <c r="J39" s="331">
        <v>645</v>
      </c>
      <c r="K39" s="331">
        <v>358</v>
      </c>
      <c r="L39" s="331">
        <v>400</v>
      </c>
      <c r="M39" s="331">
        <v>300</v>
      </c>
      <c r="N39" s="331">
        <v>687</v>
      </c>
      <c r="O39" s="331">
        <v>4099</v>
      </c>
      <c r="P39" s="331">
        <v>900</v>
      </c>
      <c r="Q39" s="331"/>
      <c r="R39" s="331"/>
      <c r="S39" s="331"/>
      <c r="T39" s="331">
        <v>10151</v>
      </c>
      <c r="U39" s="331">
        <v>2300</v>
      </c>
      <c r="V39" s="331">
        <v>600</v>
      </c>
      <c r="W39" s="331">
        <v>800</v>
      </c>
      <c r="X39" s="331"/>
      <c r="Y39" s="331">
        <v>4701</v>
      </c>
      <c r="Z39" s="331">
        <v>1500</v>
      </c>
      <c r="AA39" s="331">
        <v>250</v>
      </c>
      <c r="AB39" s="331"/>
    </row>
    <row r="40" spans="1:28" ht="15.95" customHeight="1">
      <c r="A40" s="333" t="s">
        <v>1577</v>
      </c>
      <c r="B40" s="331">
        <v>23979</v>
      </c>
      <c r="C40" s="331">
        <v>17752</v>
      </c>
      <c r="D40" s="331">
        <v>10000</v>
      </c>
      <c r="E40" s="331">
        <v>1550</v>
      </c>
      <c r="F40" s="331">
        <v>0</v>
      </c>
      <c r="G40" s="331">
        <v>510</v>
      </c>
      <c r="H40" s="331">
        <v>410</v>
      </c>
      <c r="I40" s="331">
        <v>610</v>
      </c>
      <c r="J40" s="331">
        <v>610</v>
      </c>
      <c r="K40" s="331">
        <v>290</v>
      </c>
      <c r="L40" s="331">
        <v>370</v>
      </c>
      <c r="M40" s="331">
        <v>710</v>
      </c>
      <c r="N40" s="331">
        <v>690</v>
      </c>
      <c r="O40" s="331">
        <v>753</v>
      </c>
      <c r="P40" s="331">
        <v>1249</v>
      </c>
      <c r="Q40" s="331">
        <v>0</v>
      </c>
      <c r="R40" s="331">
        <v>0</v>
      </c>
      <c r="S40" s="331">
        <v>0</v>
      </c>
      <c r="T40" s="331">
        <v>6227</v>
      </c>
      <c r="U40" s="331">
        <v>900</v>
      </c>
      <c r="V40" s="331">
        <v>1129</v>
      </c>
      <c r="W40" s="331">
        <v>1750</v>
      </c>
      <c r="X40" s="331"/>
      <c r="Y40" s="331">
        <v>2239</v>
      </c>
      <c r="Z40" s="331"/>
      <c r="AA40" s="331">
        <v>209</v>
      </c>
      <c r="AB40" s="331"/>
    </row>
    <row r="41" spans="1:28" ht="15.95" customHeight="1">
      <c r="A41" s="333" t="s">
        <v>1578</v>
      </c>
      <c r="B41" s="331">
        <v>65132</v>
      </c>
      <c r="C41" s="331">
        <v>45901</v>
      </c>
      <c r="D41" s="331">
        <v>18673</v>
      </c>
      <c r="E41" s="331">
        <v>4479</v>
      </c>
      <c r="F41" s="331">
        <v>0</v>
      </c>
      <c r="G41" s="331">
        <v>4319</v>
      </c>
      <c r="H41" s="331">
        <v>4125</v>
      </c>
      <c r="I41" s="331">
        <v>1781</v>
      </c>
      <c r="J41" s="331">
        <v>2060</v>
      </c>
      <c r="K41" s="331">
        <v>855</v>
      </c>
      <c r="L41" s="331">
        <v>1793</v>
      </c>
      <c r="M41" s="331">
        <v>1790</v>
      </c>
      <c r="N41" s="331">
        <v>1395</v>
      </c>
      <c r="O41" s="331">
        <v>2199</v>
      </c>
      <c r="P41" s="331">
        <v>2432</v>
      </c>
      <c r="Q41" s="331">
        <v>0</v>
      </c>
      <c r="R41" s="331">
        <v>0</v>
      </c>
      <c r="S41" s="331">
        <v>0</v>
      </c>
      <c r="T41" s="331">
        <v>19231</v>
      </c>
      <c r="U41" s="331">
        <v>2504</v>
      </c>
      <c r="V41" s="331">
        <v>1018</v>
      </c>
      <c r="W41" s="331">
        <v>1593</v>
      </c>
      <c r="X41" s="331">
        <v>0</v>
      </c>
      <c r="Y41" s="331">
        <v>14116</v>
      </c>
      <c r="Z41" s="331">
        <v>0</v>
      </c>
      <c r="AA41" s="331">
        <v>0</v>
      </c>
      <c r="AB41" s="331">
        <v>0</v>
      </c>
    </row>
    <row r="42" spans="1:28" ht="15.95" customHeight="1">
      <c r="A42" s="333" t="s">
        <v>1579</v>
      </c>
      <c r="B42" s="331">
        <v>25380</v>
      </c>
      <c r="C42" s="331">
        <v>14740</v>
      </c>
      <c r="D42" s="331">
        <v>7000</v>
      </c>
      <c r="E42" s="331">
        <v>650</v>
      </c>
      <c r="F42" s="331"/>
      <c r="G42" s="331">
        <v>600</v>
      </c>
      <c r="H42" s="331">
        <v>450</v>
      </c>
      <c r="I42" s="331">
        <v>600</v>
      </c>
      <c r="J42" s="331">
        <v>300</v>
      </c>
      <c r="K42" s="331">
        <v>220</v>
      </c>
      <c r="L42" s="331">
        <v>370</v>
      </c>
      <c r="M42" s="331">
        <v>650</v>
      </c>
      <c r="N42" s="331">
        <v>670</v>
      </c>
      <c r="O42" s="331">
        <v>1730</v>
      </c>
      <c r="P42" s="331">
        <v>1500</v>
      </c>
      <c r="Q42" s="331"/>
      <c r="R42" s="331"/>
      <c r="S42" s="331"/>
      <c r="T42" s="331">
        <v>10640</v>
      </c>
      <c r="U42" s="331">
        <v>1100</v>
      </c>
      <c r="V42" s="331">
        <v>500</v>
      </c>
      <c r="W42" s="331">
        <v>850</v>
      </c>
      <c r="X42" s="331">
        <v>2500</v>
      </c>
      <c r="Y42" s="331">
        <v>3422</v>
      </c>
      <c r="Z42" s="331">
        <v>500</v>
      </c>
      <c r="AA42" s="331">
        <v>460</v>
      </c>
      <c r="AB42" s="331">
        <v>1308</v>
      </c>
    </row>
    <row r="43" spans="1:28" ht="15.95" customHeight="1">
      <c r="A43" s="333" t="s">
        <v>1580</v>
      </c>
      <c r="B43" s="331">
        <v>22812</v>
      </c>
      <c r="C43" s="331">
        <v>14562</v>
      </c>
      <c r="D43" s="331">
        <v>8807</v>
      </c>
      <c r="E43" s="331">
        <v>1300</v>
      </c>
      <c r="F43" s="331"/>
      <c r="G43" s="331">
        <v>650</v>
      </c>
      <c r="H43" s="331">
        <v>80</v>
      </c>
      <c r="I43" s="331">
        <v>360</v>
      </c>
      <c r="J43" s="331">
        <v>285</v>
      </c>
      <c r="K43" s="331">
        <v>170</v>
      </c>
      <c r="L43" s="331">
        <v>220</v>
      </c>
      <c r="M43" s="331">
        <v>280</v>
      </c>
      <c r="N43" s="331">
        <v>530</v>
      </c>
      <c r="O43" s="331">
        <v>1300</v>
      </c>
      <c r="P43" s="331">
        <v>580</v>
      </c>
      <c r="Q43" s="331"/>
      <c r="R43" s="331"/>
      <c r="S43" s="331"/>
      <c r="T43" s="331">
        <v>8250</v>
      </c>
      <c r="U43" s="331">
        <v>1100</v>
      </c>
      <c r="V43" s="331">
        <v>1150</v>
      </c>
      <c r="W43" s="331">
        <v>600</v>
      </c>
      <c r="X43" s="331"/>
      <c r="Y43" s="331">
        <v>5100</v>
      </c>
      <c r="Z43" s="331">
        <v>300</v>
      </c>
      <c r="AA43" s="331"/>
      <c r="AB43" s="331"/>
    </row>
    <row r="44" spans="1:28" s="132" customFormat="1" ht="15.95" customHeight="1">
      <c r="A44" s="330" t="s">
        <v>1581</v>
      </c>
      <c r="B44" s="331">
        <f>SUM(B45:B46)</f>
        <v>380900</v>
      </c>
      <c r="C44" s="331">
        <f>SUM(C45:C46)</f>
        <v>239397</v>
      </c>
      <c r="D44" s="331">
        <f t="shared" ref="D44:AB44" si="8">SUM(D45:D46)</f>
        <v>97823</v>
      </c>
      <c r="E44" s="331">
        <f t="shared" si="8"/>
        <v>21199</v>
      </c>
      <c r="F44" s="331">
        <f t="shared" si="8"/>
        <v>0</v>
      </c>
      <c r="G44" s="331">
        <f t="shared" si="8"/>
        <v>8962</v>
      </c>
      <c r="H44" s="331">
        <f t="shared" si="8"/>
        <v>21834</v>
      </c>
      <c r="I44" s="331">
        <f t="shared" si="8"/>
        <v>11223</v>
      </c>
      <c r="J44" s="331">
        <f t="shared" si="8"/>
        <v>9428</v>
      </c>
      <c r="K44" s="331">
        <f t="shared" si="8"/>
        <v>4367</v>
      </c>
      <c r="L44" s="331">
        <f t="shared" si="8"/>
        <v>21602</v>
      </c>
      <c r="M44" s="331">
        <f t="shared" si="8"/>
        <v>8754</v>
      </c>
      <c r="N44" s="331">
        <f t="shared" si="8"/>
        <v>7184</v>
      </c>
      <c r="O44" s="331">
        <f t="shared" si="8"/>
        <v>11412</v>
      </c>
      <c r="P44" s="331">
        <f t="shared" si="8"/>
        <v>14901</v>
      </c>
      <c r="Q44" s="331">
        <f t="shared" si="8"/>
        <v>0</v>
      </c>
      <c r="R44" s="331">
        <f t="shared" si="8"/>
        <v>705</v>
      </c>
      <c r="S44" s="331">
        <f t="shared" si="8"/>
        <v>3</v>
      </c>
      <c r="T44" s="331">
        <f t="shared" si="8"/>
        <v>141503</v>
      </c>
      <c r="U44" s="331">
        <f t="shared" si="8"/>
        <v>12275</v>
      </c>
      <c r="V44" s="331">
        <f t="shared" si="8"/>
        <v>10844</v>
      </c>
      <c r="W44" s="331">
        <f t="shared" si="8"/>
        <v>14607</v>
      </c>
      <c r="X44" s="331">
        <f t="shared" si="8"/>
        <v>33000</v>
      </c>
      <c r="Y44" s="331">
        <f t="shared" si="8"/>
        <v>55858</v>
      </c>
      <c r="Z44" s="331">
        <f t="shared" si="8"/>
        <v>1200</v>
      </c>
      <c r="AA44" s="331">
        <f t="shared" si="8"/>
        <v>7246</v>
      </c>
      <c r="AB44" s="331">
        <f t="shared" si="8"/>
        <v>6473</v>
      </c>
    </row>
    <row r="45" spans="1:28" s="132" customFormat="1" ht="15.95" customHeight="1">
      <c r="A45" s="332" t="s">
        <v>1193</v>
      </c>
      <c r="B45" s="331">
        <v>15100</v>
      </c>
      <c r="C45" s="331">
        <v>700</v>
      </c>
      <c r="D45" s="331"/>
      <c r="E45" s="331"/>
      <c r="F45" s="331"/>
      <c r="G45" s="331"/>
      <c r="H45" s="331"/>
      <c r="I45" s="331"/>
      <c r="J45" s="331"/>
      <c r="K45" s="331"/>
      <c r="L45" s="331"/>
      <c r="M45" s="331"/>
      <c r="N45" s="331"/>
      <c r="O45" s="331"/>
      <c r="P45" s="331"/>
      <c r="Q45" s="331"/>
      <c r="R45" s="331">
        <v>700</v>
      </c>
      <c r="S45" s="331"/>
      <c r="T45" s="331">
        <v>14400</v>
      </c>
      <c r="U45" s="331">
        <v>1000</v>
      </c>
      <c r="V45" s="331">
        <v>2000</v>
      </c>
      <c r="W45" s="331">
        <v>2000</v>
      </c>
      <c r="X45" s="331"/>
      <c r="Y45" s="331">
        <v>3000</v>
      </c>
      <c r="Z45" s="331"/>
      <c r="AA45" s="331">
        <v>5000</v>
      </c>
      <c r="AB45" s="331">
        <v>1400</v>
      </c>
    </row>
    <row r="46" spans="1:28" s="132" customFormat="1" ht="15.95" customHeight="1">
      <c r="A46" s="332" t="s">
        <v>1194</v>
      </c>
      <c r="B46" s="331">
        <v>365800</v>
      </c>
      <c r="C46" s="331">
        <v>238697</v>
      </c>
      <c r="D46" s="331">
        <v>97823</v>
      </c>
      <c r="E46" s="331">
        <v>21199</v>
      </c>
      <c r="F46" s="331">
        <v>0</v>
      </c>
      <c r="G46" s="331">
        <v>8962</v>
      </c>
      <c r="H46" s="331">
        <v>21834</v>
      </c>
      <c r="I46" s="331">
        <v>11223</v>
      </c>
      <c r="J46" s="331">
        <v>9428</v>
      </c>
      <c r="K46" s="331">
        <v>4367</v>
      </c>
      <c r="L46" s="331">
        <v>21602</v>
      </c>
      <c r="M46" s="331">
        <v>8754</v>
      </c>
      <c r="N46" s="331">
        <v>7184</v>
      </c>
      <c r="O46" s="331">
        <v>11412</v>
      </c>
      <c r="P46" s="331">
        <v>14901</v>
      </c>
      <c r="Q46" s="331">
        <v>0</v>
      </c>
      <c r="R46" s="331">
        <v>5</v>
      </c>
      <c r="S46" s="331">
        <v>3</v>
      </c>
      <c r="T46" s="331">
        <v>127103</v>
      </c>
      <c r="U46" s="331">
        <v>11275</v>
      </c>
      <c r="V46" s="331">
        <v>8844</v>
      </c>
      <c r="W46" s="331">
        <v>12607</v>
      </c>
      <c r="X46" s="331">
        <v>33000</v>
      </c>
      <c r="Y46" s="331">
        <v>52858</v>
      </c>
      <c r="Z46" s="331">
        <v>1200</v>
      </c>
      <c r="AA46" s="331">
        <v>2246</v>
      </c>
      <c r="AB46" s="331">
        <v>5073</v>
      </c>
    </row>
    <row r="47" spans="1:28" s="132" customFormat="1" ht="15.95" customHeight="1">
      <c r="A47" s="332" t="s">
        <v>1582</v>
      </c>
      <c r="B47" s="331">
        <v>40037</v>
      </c>
      <c r="C47" s="331">
        <v>32437</v>
      </c>
      <c r="D47" s="331">
        <v>15497</v>
      </c>
      <c r="E47" s="331">
        <v>2700</v>
      </c>
      <c r="F47" s="331"/>
      <c r="G47" s="331">
        <v>2400</v>
      </c>
      <c r="H47" s="331">
        <v>100</v>
      </c>
      <c r="I47" s="331">
        <v>1800</v>
      </c>
      <c r="J47" s="331">
        <v>1200</v>
      </c>
      <c r="K47" s="331">
        <v>900</v>
      </c>
      <c r="L47" s="331">
        <v>1100</v>
      </c>
      <c r="M47" s="331">
        <v>1700</v>
      </c>
      <c r="N47" s="331">
        <v>1700</v>
      </c>
      <c r="O47" s="331">
        <v>40</v>
      </c>
      <c r="P47" s="331">
        <v>3300</v>
      </c>
      <c r="Q47" s="331"/>
      <c r="R47" s="331"/>
      <c r="S47" s="331"/>
      <c r="T47" s="331">
        <v>7600</v>
      </c>
      <c r="U47" s="331">
        <v>2800</v>
      </c>
      <c r="V47" s="331">
        <v>1200</v>
      </c>
      <c r="W47" s="331">
        <v>2000</v>
      </c>
      <c r="X47" s="331"/>
      <c r="Y47" s="331">
        <v>1000</v>
      </c>
      <c r="Z47" s="331">
        <v>100</v>
      </c>
      <c r="AA47" s="331">
        <v>300</v>
      </c>
      <c r="AB47" s="331">
        <v>200</v>
      </c>
    </row>
    <row r="48" spans="1:28" s="132" customFormat="1" ht="15.95" customHeight="1">
      <c r="A48" s="332" t="s">
        <v>1583</v>
      </c>
      <c r="B48" s="331">
        <v>26187</v>
      </c>
      <c r="C48" s="331">
        <v>20187</v>
      </c>
      <c r="D48" s="331">
        <v>7874</v>
      </c>
      <c r="E48" s="331">
        <v>2853</v>
      </c>
      <c r="F48" s="331"/>
      <c r="G48" s="331">
        <v>930</v>
      </c>
      <c r="H48" s="331">
        <v>50</v>
      </c>
      <c r="I48" s="331">
        <v>850</v>
      </c>
      <c r="J48" s="331">
        <v>830</v>
      </c>
      <c r="K48" s="331">
        <v>450</v>
      </c>
      <c r="L48" s="331">
        <v>1400</v>
      </c>
      <c r="M48" s="331">
        <v>1500</v>
      </c>
      <c r="N48" s="331">
        <v>1200</v>
      </c>
      <c r="O48" s="331">
        <v>150</v>
      </c>
      <c r="P48" s="331">
        <v>2100</v>
      </c>
      <c r="Q48" s="331"/>
      <c r="R48" s="331"/>
      <c r="S48" s="331"/>
      <c r="T48" s="331">
        <v>6000</v>
      </c>
      <c r="U48" s="331">
        <v>704</v>
      </c>
      <c r="V48" s="331">
        <v>600</v>
      </c>
      <c r="W48" s="331">
        <v>2000</v>
      </c>
      <c r="X48" s="331"/>
      <c r="Y48" s="331">
        <v>2500</v>
      </c>
      <c r="Z48" s="331"/>
      <c r="AA48" s="331">
        <v>170</v>
      </c>
      <c r="AB48" s="331">
        <v>26</v>
      </c>
    </row>
    <row r="49" spans="1:28" s="132" customFormat="1" ht="15.95" customHeight="1">
      <c r="A49" s="332" t="s">
        <v>1584</v>
      </c>
      <c r="B49" s="331">
        <v>97653</v>
      </c>
      <c r="C49" s="331">
        <v>61153</v>
      </c>
      <c r="D49" s="331">
        <v>29443</v>
      </c>
      <c r="E49" s="331">
        <v>5560</v>
      </c>
      <c r="F49" s="331"/>
      <c r="G49" s="331">
        <v>3000</v>
      </c>
      <c r="H49" s="331">
        <v>3000</v>
      </c>
      <c r="I49" s="331">
        <v>2600</v>
      </c>
      <c r="J49" s="331">
        <v>3100</v>
      </c>
      <c r="K49" s="331">
        <v>1350</v>
      </c>
      <c r="L49" s="331">
        <v>4500</v>
      </c>
      <c r="M49" s="331">
        <v>2000</v>
      </c>
      <c r="N49" s="331">
        <v>1600</v>
      </c>
      <c r="O49" s="331">
        <v>2000</v>
      </c>
      <c r="P49" s="331">
        <v>3000</v>
      </c>
      <c r="Q49" s="331"/>
      <c r="R49" s="331"/>
      <c r="S49" s="331"/>
      <c r="T49" s="331">
        <v>36500</v>
      </c>
      <c r="U49" s="331">
        <v>2000</v>
      </c>
      <c r="V49" s="331">
        <v>2800</v>
      </c>
      <c r="W49" s="331">
        <v>3000</v>
      </c>
      <c r="X49" s="331"/>
      <c r="Y49" s="331">
        <v>26700</v>
      </c>
      <c r="Z49" s="331">
        <v>1000</v>
      </c>
      <c r="AA49" s="331">
        <v>1000</v>
      </c>
      <c r="AB49" s="331"/>
    </row>
    <row r="50" spans="1:28" s="132" customFormat="1" ht="15.95" customHeight="1">
      <c r="A50" s="333" t="s">
        <v>1585</v>
      </c>
      <c r="B50" s="331">
        <v>103757</v>
      </c>
      <c r="C50" s="331">
        <v>42000</v>
      </c>
      <c r="D50" s="331">
        <v>16700</v>
      </c>
      <c r="E50" s="331">
        <v>4900</v>
      </c>
      <c r="F50" s="331"/>
      <c r="G50" s="331">
        <v>1100</v>
      </c>
      <c r="H50" s="331">
        <v>1200</v>
      </c>
      <c r="I50" s="331">
        <v>2600</v>
      </c>
      <c r="J50" s="331">
        <v>1900</v>
      </c>
      <c r="K50" s="331">
        <v>1000</v>
      </c>
      <c r="L50" s="331">
        <v>2000</v>
      </c>
      <c r="M50" s="331">
        <v>1900</v>
      </c>
      <c r="N50" s="331">
        <v>1400</v>
      </c>
      <c r="O50" s="331">
        <v>3300</v>
      </c>
      <c r="P50" s="331">
        <v>4000</v>
      </c>
      <c r="Q50" s="331"/>
      <c r="R50" s="331"/>
      <c r="S50" s="331"/>
      <c r="T50" s="331">
        <v>61757</v>
      </c>
      <c r="U50" s="331">
        <v>3000</v>
      </c>
      <c r="V50" s="331">
        <v>2500</v>
      </c>
      <c r="W50" s="331">
        <v>3000</v>
      </c>
      <c r="X50" s="331">
        <v>33000</v>
      </c>
      <c r="Y50" s="331">
        <v>15600</v>
      </c>
      <c r="Z50" s="331"/>
      <c r="AA50" s="331">
        <v>200</v>
      </c>
      <c r="AB50" s="331">
        <v>4457</v>
      </c>
    </row>
    <row r="51" spans="1:28" s="132" customFormat="1" ht="15.95" customHeight="1">
      <c r="A51" s="332" t="s">
        <v>1586</v>
      </c>
      <c r="B51" s="331">
        <v>17261</v>
      </c>
      <c r="C51" s="331">
        <v>14908</v>
      </c>
      <c r="D51" s="331">
        <v>4668</v>
      </c>
      <c r="E51" s="331">
        <v>2255</v>
      </c>
      <c r="F51" s="331"/>
      <c r="G51" s="331">
        <v>474</v>
      </c>
      <c r="H51" s="331">
        <v>3657</v>
      </c>
      <c r="I51" s="331">
        <v>563</v>
      </c>
      <c r="J51" s="331">
        <v>858</v>
      </c>
      <c r="K51" s="331">
        <v>227</v>
      </c>
      <c r="L51" s="331">
        <v>542</v>
      </c>
      <c r="M51" s="331">
        <v>347</v>
      </c>
      <c r="N51" s="331">
        <v>426</v>
      </c>
      <c r="O51" s="331">
        <v>572</v>
      </c>
      <c r="P51" s="331">
        <v>316</v>
      </c>
      <c r="Q51" s="331"/>
      <c r="R51" s="331"/>
      <c r="S51" s="331">
        <v>3</v>
      </c>
      <c r="T51" s="331">
        <v>2353</v>
      </c>
      <c r="U51" s="331">
        <v>382</v>
      </c>
      <c r="V51" s="331">
        <v>371</v>
      </c>
      <c r="W51" s="331">
        <v>840</v>
      </c>
      <c r="X51" s="331"/>
      <c r="Y51" s="331">
        <v>550</v>
      </c>
      <c r="Z51" s="331"/>
      <c r="AA51" s="331">
        <v>120</v>
      </c>
      <c r="AB51" s="331">
        <v>90</v>
      </c>
    </row>
    <row r="52" spans="1:28" s="132" customFormat="1" ht="15.95" customHeight="1">
      <c r="A52" s="333" t="s">
        <v>1587</v>
      </c>
      <c r="B52" s="331">
        <v>11679</v>
      </c>
      <c r="C52" s="331">
        <v>6186</v>
      </c>
      <c r="D52" s="331">
        <v>3211</v>
      </c>
      <c r="E52" s="331">
        <v>720</v>
      </c>
      <c r="F52" s="331"/>
      <c r="G52" s="331">
        <v>218</v>
      </c>
      <c r="H52" s="331">
        <v>27</v>
      </c>
      <c r="I52" s="331">
        <v>340</v>
      </c>
      <c r="J52" s="331">
        <v>180</v>
      </c>
      <c r="K52" s="331">
        <v>100</v>
      </c>
      <c r="L52" s="331">
        <v>60</v>
      </c>
      <c r="M52" s="331">
        <v>300</v>
      </c>
      <c r="N52" s="331">
        <v>380</v>
      </c>
      <c r="O52" s="331">
        <v>350</v>
      </c>
      <c r="P52" s="331">
        <v>295</v>
      </c>
      <c r="Q52" s="331"/>
      <c r="R52" s="331">
        <v>5</v>
      </c>
      <c r="S52" s="331"/>
      <c r="T52" s="331">
        <v>5493</v>
      </c>
      <c r="U52" s="331">
        <v>289</v>
      </c>
      <c r="V52" s="331">
        <v>573</v>
      </c>
      <c r="W52" s="331">
        <v>567</v>
      </c>
      <c r="X52" s="331"/>
      <c r="Y52" s="331">
        <v>3908</v>
      </c>
      <c r="Z52" s="331"/>
      <c r="AA52" s="331">
        <v>156</v>
      </c>
      <c r="AB52" s="331"/>
    </row>
    <row r="53" spans="1:28" s="132" customFormat="1" ht="15.95" customHeight="1">
      <c r="A53" s="333" t="s">
        <v>1588</v>
      </c>
      <c r="B53" s="331">
        <v>69226</v>
      </c>
      <c r="C53" s="331">
        <v>61826</v>
      </c>
      <c r="D53" s="331">
        <v>20430</v>
      </c>
      <c r="E53" s="331">
        <v>2211</v>
      </c>
      <c r="F53" s="331"/>
      <c r="G53" s="331">
        <v>840</v>
      </c>
      <c r="H53" s="331">
        <v>13800</v>
      </c>
      <c r="I53" s="331">
        <v>2470</v>
      </c>
      <c r="J53" s="331">
        <v>1360</v>
      </c>
      <c r="K53" s="331">
        <v>340</v>
      </c>
      <c r="L53" s="331">
        <v>12000</v>
      </c>
      <c r="M53" s="331">
        <v>1007</v>
      </c>
      <c r="N53" s="331">
        <v>478</v>
      </c>
      <c r="O53" s="331">
        <v>5000</v>
      </c>
      <c r="P53" s="331">
        <v>1890</v>
      </c>
      <c r="Q53" s="331"/>
      <c r="R53" s="331"/>
      <c r="S53" s="331"/>
      <c r="T53" s="331">
        <v>7400</v>
      </c>
      <c r="U53" s="331">
        <v>2100</v>
      </c>
      <c r="V53" s="331">
        <v>800</v>
      </c>
      <c r="W53" s="331">
        <v>1200</v>
      </c>
      <c r="X53" s="331"/>
      <c r="Y53" s="331">
        <v>2600</v>
      </c>
      <c r="Z53" s="331">
        <v>100</v>
      </c>
      <c r="AA53" s="331">
        <v>300</v>
      </c>
      <c r="AB53" s="331">
        <v>300</v>
      </c>
    </row>
    <row r="54" spans="1:28" s="134" customFormat="1" ht="15.95" customHeight="1">
      <c r="A54" s="330" t="s">
        <v>1711</v>
      </c>
      <c r="B54" s="337">
        <f t="shared" ref="B54:B63" si="9">C54+T54</f>
        <v>315550</v>
      </c>
      <c r="C54" s="337">
        <f>SUM(C55:C56)</f>
        <v>221094</v>
      </c>
      <c r="D54" s="337">
        <f t="shared" ref="D54:AB54" si="10">SUM(D55:D56)</f>
        <v>97260</v>
      </c>
      <c r="E54" s="337">
        <f t="shared" si="10"/>
        <v>31216</v>
      </c>
      <c r="F54" s="337">
        <f t="shared" si="10"/>
        <v>0</v>
      </c>
      <c r="G54" s="337">
        <f t="shared" si="10"/>
        <v>9265</v>
      </c>
      <c r="H54" s="337">
        <f t="shared" si="10"/>
        <v>34556</v>
      </c>
      <c r="I54" s="337">
        <f t="shared" si="10"/>
        <v>8718</v>
      </c>
      <c r="J54" s="337">
        <f t="shared" si="10"/>
        <v>6690</v>
      </c>
      <c r="K54" s="337">
        <f t="shared" si="10"/>
        <v>3066</v>
      </c>
      <c r="L54" s="337">
        <f t="shared" si="10"/>
        <v>4348</v>
      </c>
      <c r="M54" s="337">
        <f t="shared" si="10"/>
        <v>4956</v>
      </c>
      <c r="N54" s="337">
        <f t="shared" si="10"/>
        <v>4676</v>
      </c>
      <c r="O54" s="337">
        <f t="shared" si="10"/>
        <v>8641</v>
      </c>
      <c r="P54" s="337">
        <f t="shared" si="10"/>
        <v>6992</v>
      </c>
      <c r="Q54" s="337">
        <f t="shared" si="10"/>
        <v>0</v>
      </c>
      <c r="R54" s="337">
        <f t="shared" si="10"/>
        <v>630</v>
      </c>
      <c r="S54" s="337">
        <f t="shared" si="10"/>
        <v>80</v>
      </c>
      <c r="T54" s="337">
        <f t="shared" si="10"/>
        <v>94456</v>
      </c>
      <c r="U54" s="337">
        <f t="shared" si="10"/>
        <v>12283</v>
      </c>
      <c r="V54" s="337">
        <f t="shared" si="10"/>
        <v>12453</v>
      </c>
      <c r="W54" s="337">
        <f t="shared" si="10"/>
        <v>11243</v>
      </c>
      <c r="X54" s="337">
        <f t="shared" si="10"/>
        <v>200</v>
      </c>
      <c r="Y54" s="337">
        <f t="shared" si="10"/>
        <v>27210</v>
      </c>
      <c r="Z54" s="337">
        <f t="shared" si="10"/>
        <v>4183</v>
      </c>
      <c r="AA54" s="337">
        <f t="shared" si="10"/>
        <v>6418</v>
      </c>
      <c r="AB54" s="337">
        <f t="shared" si="10"/>
        <v>20466</v>
      </c>
    </row>
    <row r="55" spans="1:28" s="134" customFormat="1" ht="15.95" customHeight="1">
      <c r="A55" s="332" t="s">
        <v>1193</v>
      </c>
      <c r="B55" s="337">
        <f t="shared" si="9"/>
        <v>22900</v>
      </c>
      <c r="C55" s="337">
        <f t="shared" ref="C55:C63" si="11">SUM(D55:S55)</f>
        <v>500</v>
      </c>
      <c r="D55" s="337"/>
      <c r="E55" s="337"/>
      <c r="F55" s="337"/>
      <c r="G55" s="337"/>
      <c r="H55" s="337"/>
      <c r="I55" s="337"/>
      <c r="J55" s="337"/>
      <c r="K55" s="337"/>
      <c r="L55" s="337"/>
      <c r="M55" s="337"/>
      <c r="N55" s="337"/>
      <c r="O55" s="337"/>
      <c r="P55" s="337"/>
      <c r="Q55" s="337"/>
      <c r="R55" s="337">
        <v>500</v>
      </c>
      <c r="S55" s="337"/>
      <c r="T55" s="337">
        <f t="shared" ref="T55:T63" si="12">SUM(U55:AB55)</f>
        <v>22400</v>
      </c>
      <c r="U55" s="337">
        <v>740</v>
      </c>
      <c r="V55" s="337">
        <v>974</v>
      </c>
      <c r="W55" s="337">
        <v>174</v>
      </c>
      <c r="X55" s="337"/>
      <c r="Y55" s="337">
        <v>2787</v>
      </c>
      <c r="Z55" s="337"/>
      <c r="AA55" s="337">
        <v>5533</v>
      </c>
      <c r="AB55" s="337">
        <v>12192</v>
      </c>
    </row>
    <row r="56" spans="1:28" s="134" customFormat="1" ht="15.95" customHeight="1">
      <c r="A56" s="332" t="s">
        <v>1194</v>
      </c>
      <c r="B56" s="337">
        <f t="shared" si="9"/>
        <v>292650</v>
      </c>
      <c r="C56" s="337">
        <f t="shared" si="11"/>
        <v>220594</v>
      </c>
      <c r="D56" s="337">
        <f t="shared" ref="D56:S56" si="13">SUM(D57:D63)</f>
        <v>97260</v>
      </c>
      <c r="E56" s="337">
        <f t="shared" si="13"/>
        <v>31216</v>
      </c>
      <c r="F56" s="337">
        <f t="shared" si="13"/>
        <v>0</v>
      </c>
      <c r="G56" s="337">
        <f t="shared" si="13"/>
        <v>9265</v>
      </c>
      <c r="H56" s="337">
        <f t="shared" si="13"/>
        <v>34556</v>
      </c>
      <c r="I56" s="337">
        <f t="shared" si="13"/>
        <v>8718</v>
      </c>
      <c r="J56" s="337">
        <f t="shared" si="13"/>
        <v>6690</v>
      </c>
      <c r="K56" s="337">
        <f t="shared" si="13"/>
        <v>3066</v>
      </c>
      <c r="L56" s="337">
        <f t="shared" si="13"/>
        <v>4348</v>
      </c>
      <c r="M56" s="337">
        <f t="shared" si="13"/>
        <v>4956</v>
      </c>
      <c r="N56" s="337">
        <f t="shared" si="13"/>
        <v>4676</v>
      </c>
      <c r="O56" s="337">
        <f t="shared" si="13"/>
        <v>8641</v>
      </c>
      <c r="P56" s="337">
        <f t="shared" si="13"/>
        <v>6992</v>
      </c>
      <c r="Q56" s="337">
        <f t="shared" si="13"/>
        <v>0</v>
      </c>
      <c r="R56" s="337">
        <f t="shared" si="13"/>
        <v>130</v>
      </c>
      <c r="S56" s="337">
        <f t="shared" si="13"/>
        <v>80</v>
      </c>
      <c r="T56" s="337">
        <f t="shared" si="12"/>
        <v>72056</v>
      </c>
      <c r="U56" s="337">
        <f t="shared" ref="U56:AB56" si="14">SUM(U57:U63)</f>
        <v>11543</v>
      </c>
      <c r="V56" s="337">
        <f t="shared" si="14"/>
        <v>11479</v>
      </c>
      <c r="W56" s="337">
        <f t="shared" si="14"/>
        <v>11069</v>
      </c>
      <c r="X56" s="337">
        <f t="shared" si="14"/>
        <v>200</v>
      </c>
      <c r="Y56" s="337">
        <f t="shared" si="14"/>
        <v>24423</v>
      </c>
      <c r="Z56" s="337">
        <f t="shared" si="14"/>
        <v>4183</v>
      </c>
      <c r="AA56" s="337">
        <f t="shared" si="14"/>
        <v>885</v>
      </c>
      <c r="AB56" s="337">
        <f t="shared" si="14"/>
        <v>8274</v>
      </c>
    </row>
    <row r="57" spans="1:28" s="134" customFormat="1" ht="15.95" customHeight="1">
      <c r="A57" s="332" t="s">
        <v>1589</v>
      </c>
      <c r="B57" s="337">
        <v>42750</v>
      </c>
      <c r="C57" s="337">
        <v>34210</v>
      </c>
      <c r="D57" s="337">
        <v>16000</v>
      </c>
      <c r="E57" s="337">
        <v>2080</v>
      </c>
      <c r="F57" s="337"/>
      <c r="G57" s="337">
        <v>1980</v>
      </c>
      <c r="H57" s="337">
        <v>1200</v>
      </c>
      <c r="I57" s="337">
        <v>2600</v>
      </c>
      <c r="J57" s="337">
        <v>1900</v>
      </c>
      <c r="K57" s="337">
        <v>800</v>
      </c>
      <c r="L57" s="337">
        <v>1700</v>
      </c>
      <c r="M57" s="337">
        <v>1500</v>
      </c>
      <c r="N57" s="337">
        <v>1850</v>
      </c>
      <c r="O57" s="337"/>
      <c r="P57" s="337">
        <v>2600</v>
      </c>
      <c r="Q57" s="337"/>
      <c r="R57" s="337"/>
      <c r="S57" s="337"/>
      <c r="T57" s="337">
        <v>8540</v>
      </c>
      <c r="U57" s="337">
        <v>1850</v>
      </c>
      <c r="V57" s="337">
        <v>2250</v>
      </c>
      <c r="W57" s="337">
        <v>1764</v>
      </c>
      <c r="X57" s="337"/>
      <c r="Y57" s="337">
        <v>583</v>
      </c>
      <c r="Z57" s="337">
        <v>32</v>
      </c>
      <c r="AA57" s="337"/>
      <c r="AB57" s="337">
        <v>2061</v>
      </c>
    </row>
    <row r="58" spans="1:28" s="134" customFormat="1" ht="15.95" customHeight="1">
      <c r="A58" s="332" t="s">
        <v>1590</v>
      </c>
      <c r="B58" s="337">
        <f t="shared" si="9"/>
        <v>29350</v>
      </c>
      <c r="C58" s="337">
        <f t="shared" si="11"/>
        <v>19050</v>
      </c>
      <c r="D58" s="337">
        <v>9950</v>
      </c>
      <c r="E58" s="337">
        <v>2240</v>
      </c>
      <c r="F58" s="337"/>
      <c r="G58" s="337">
        <v>840</v>
      </c>
      <c r="H58" s="337">
        <v>240</v>
      </c>
      <c r="I58" s="337">
        <v>990</v>
      </c>
      <c r="J58" s="337">
        <v>670</v>
      </c>
      <c r="K58" s="337">
        <v>650</v>
      </c>
      <c r="L58" s="337">
        <v>140</v>
      </c>
      <c r="M58" s="337">
        <v>740</v>
      </c>
      <c r="N58" s="337">
        <v>560</v>
      </c>
      <c r="O58" s="337">
        <v>850</v>
      </c>
      <c r="P58" s="337">
        <v>1050</v>
      </c>
      <c r="Q58" s="337"/>
      <c r="R58" s="337">
        <v>130</v>
      </c>
      <c r="S58" s="337"/>
      <c r="T58" s="337">
        <f t="shared" si="12"/>
        <v>10300</v>
      </c>
      <c r="U58" s="337">
        <v>930</v>
      </c>
      <c r="V58" s="337">
        <v>915</v>
      </c>
      <c r="W58" s="337">
        <v>860</v>
      </c>
      <c r="X58" s="337"/>
      <c r="Y58" s="337">
        <v>3937</v>
      </c>
      <c r="Z58" s="337"/>
      <c r="AA58" s="337">
        <v>95</v>
      </c>
      <c r="AB58" s="337">
        <v>3563</v>
      </c>
    </row>
    <row r="59" spans="1:28" s="134" customFormat="1" ht="15.95" customHeight="1">
      <c r="A59" s="332" t="s">
        <v>1591</v>
      </c>
      <c r="B59" s="337">
        <f t="shared" si="9"/>
        <v>54050</v>
      </c>
      <c r="C59" s="337">
        <f t="shared" si="11"/>
        <v>42580</v>
      </c>
      <c r="D59" s="337">
        <v>18000</v>
      </c>
      <c r="E59" s="337">
        <v>8300</v>
      </c>
      <c r="F59" s="337"/>
      <c r="G59" s="337">
        <v>700</v>
      </c>
      <c r="H59" s="337">
        <v>11000</v>
      </c>
      <c r="I59" s="337">
        <v>800</v>
      </c>
      <c r="J59" s="337">
        <v>700</v>
      </c>
      <c r="K59" s="337">
        <v>400</v>
      </c>
      <c r="L59" s="337">
        <v>300</v>
      </c>
      <c r="M59" s="337">
        <v>800</v>
      </c>
      <c r="N59" s="337">
        <v>450</v>
      </c>
      <c r="O59" s="337">
        <v>270</v>
      </c>
      <c r="P59" s="337">
        <v>850</v>
      </c>
      <c r="Q59" s="337"/>
      <c r="R59" s="337"/>
      <c r="S59" s="337">
        <v>10</v>
      </c>
      <c r="T59" s="337">
        <f t="shared" si="12"/>
        <v>11470</v>
      </c>
      <c r="U59" s="337">
        <v>2700</v>
      </c>
      <c r="V59" s="337">
        <v>1250</v>
      </c>
      <c r="W59" s="337">
        <v>600</v>
      </c>
      <c r="X59" s="337">
        <v>170</v>
      </c>
      <c r="Y59" s="337">
        <v>1000</v>
      </c>
      <c r="Z59" s="337">
        <v>3600</v>
      </c>
      <c r="AA59" s="337">
        <v>150</v>
      </c>
      <c r="AB59" s="337">
        <v>2000</v>
      </c>
    </row>
    <row r="60" spans="1:28" s="134" customFormat="1" ht="15.95" customHeight="1">
      <c r="A60" s="333" t="s">
        <v>1592</v>
      </c>
      <c r="B60" s="337">
        <f t="shared" si="9"/>
        <v>12950</v>
      </c>
      <c r="C60" s="337">
        <f t="shared" si="11"/>
        <v>7950</v>
      </c>
      <c r="D60" s="337">
        <v>3890</v>
      </c>
      <c r="E60" s="337">
        <v>1740</v>
      </c>
      <c r="F60" s="337"/>
      <c r="G60" s="337">
        <v>650</v>
      </c>
      <c r="H60" s="337">
        <v>40</v>
      </c>
      <c r="I60" s="337">
        <v>430</v>
      </c>
      <c r="J60" s="337">
        <v>250</v>
      </c>
      <c r="K60" s="337">
        <v>150</v>
      </c>
      <c r="L60" s="337">
        <v>120</v>
      </c>
      <c r="M60" s="337">
        <v>45</v>
      </c>
      <c r="N60" s="337">
        <v>240</v>
      </c>
      <c r="O60" s="337">
        <v>155</v>
      </c>
      <c r="P60" s="337">
        <v>240</v>
      </c>
      <c r="Q60" s="337"/>
      <c r="R60" s="337"/>
      <c r="S60" s="337"/>
      <c r="T60" s="337">
        <f t="shared" si="12"/>
        <v>5000</v>
      </c>
      <c r="U60" s="337">
        <v>750</v>
      </c>
      <c r="V60" s="337">
        <v>2000</v>
      </c>
      <c r="W60" s="337">
        <v>400</v>
      </c>
      <c r="X60" s="337">
        <v>30</v>
      </c>
      <c r="Y60" s="337">
        <v>1600</v>
      </c>
      <c r="Z60" s="337">
        <v>100</v>
      </c>
      <c r="AA60" s="337">
        <v>20</v>
      </c>
      <c r="AB60" s="337">
        <v>100</v>
      </c>
    </row>
    <row r="61" spans="1:28" s="134" customFormat="1" ht="15.95" customHeight="1">
      <c r="A61" s="332" t="s">
        <v>1593</v>
      </c>
      <c r="B61" s="337">
        <f t="shared" si="9"/>
        <v>36100</v>
      </c>
      <c r="C61" s="337">
        <f t="shared" si="11"/>
        <v>25430</v>
      </c>
      <c r="D61" s="337">
        <v>10610</v>
      </c>
      <c r="E61" s="337">
        <v>1900</v>
      </c>
      <c r="F61" s="337">
        <v>0</v>
      </c>
      <c r="G61" s="337">
        <v>800</v>
      </c>
      <c r="H61" s="337">
        <v>880</v>
      </c>
      <c r="I61" s="337">
        <v>1200</v>
      </c>
      <c r="J61" s="337">
        <v>700</v>
      </c>
      <c r="K61" s="337">
        <v>300</v>
      </c>
      <c r="L61" s="337">
        <v>900</v>
      </c>
      <c r="M61" s="337">
        <v>1200</v>
      </c>
      <c r="N61" s="337">
        <v>470</v>
      </c>
      <c r="O61" s="337">
        <v>5500</v>
      </c>
      <c r="P61" s="337">
        <v>900</v>
      </c>
      <c r="Q61" s="337">
        <v>0</v>
      </c>
      <c r="R61" s="337">
        <v>0</v>
      </c>
      <c r="S61" s="337">
        <v>70</v>
      </c>
      <c r="T61" s="337">
        <f t="shared" si="12"/>
        <v>10670</v>
      </c>
      <c r="U61" s="337">
        <v>1130</v>
      </c>
      <c r="V61" s="337">
        <v>1100</v>
      </c>
      <c r="W61" s="337">
        <v>5000</v>
      </c>
      <c r="X61" s="337">
        <v>0</v>
      </c>
      <c r="Y61" s="337">
        <v>2580</v>
      </c>
      <c r="Z61" s="337">
        <v>150</v>
      </c>
      <c r="AA61" s="337">
        <v>160</v>
      </c>
      <c r="AB61" s="337">
        <v>550</v>
      </c>
    </row>
    <row r="62" spans="1:28" s="134" customFormat="1" ht="15.95" customHeight="1">
      <c r="A62" s="333" t="s">
        <v>1594</v>
      </c>
      <c r="B62" s="337">
        <f t="shared" si="9"/>
        <v>93750</v>
      </c>
      <c r="C62" s="337">
        <f t="shared" si="11"/>
        <v>78835</v>
      </c>
      <c r="D62" s="337">
        <v>31765</v>
      </c>
      <c r="E62" s="337">
        <v>13540</v>
      </c>
      <c r="F62" s="337"/>
      <c r="G62" s="337">
        <v>3920</v>
      </c>
      <c r="H62" s="337">
        <v>19900</v>
      </c>
      <c r="I62" s="337">
        <v>2200</v>
      </c>
      <c r="J62" s="337">
        <v>2150</v>
      </c>
      <c r="K62" s="337">
        <v>560</v>
      </c>
      <c r="L62" s="337">
        <v>1000</v>
      </c>
      <c r="M62" s="337">
        <v>400</v>
      </c>
      <c r="N62" s="337">
        <v>700</v>
      </c>
      <c r="O62" s="337">
        <v>1800</v>
      </c>
      <c r="P62" s="337">
        <v>900</v>
      </c>
      <c r="Q62" s="337"/>
      <c r="R62" s="337"/>
      <c r="S62" s="337"/>
      <c r="T62" s="337">
        <f t="shared" si="12"/>
        <v>14915</v>
      </c>
      <c r="U62" s="337">
        <v>3540</v>
      </c>
      <c r="V62" s="337">
        <v>2801</v>
      </c>
      <c r="W62" s="337">
        <v>1544</v>
      </c>
      <c r="X62" s="337"/>
      <c r="Y62" s="337">
        <v>6681</v>
      </c>
      <c r="Z62" s="337">
        <v>49</v>
      </c>
      <c r="AA62" s="337">
        <v>300</v>
      </c>
      <c r="AB62" s="337"/>
    </row>
    <row r="63" spans="1:28" s="134" customFormat="1" ht="15.95" customHeight="1">
      <c r="A63" s="333" t="s">
        <v>1595</v>
      </c>
      <c r="B63" s="337">
        <f t="shared" si="9"/>
        <v>23700</v>
      </c>
      <c r="C63" s="337">
        <f t="shared" si="11"/>
        <v>12539</v>
      </c>
      <c r="D63" s="337">
        <v>7045</v>
      </c>
      <c r="E63" s="337">
        <v>1416</v>
      </c>
      <c r="F63" s="337">
        <v>0</v>
      </c>
      <c r="G63" s="337">
        <v>375</v>
      </c>
      <c r="H63" s="337">
        <v>1296</v>
      </c>
      <c r="I63" s="337">
        <v>498</v>
      </c>
      <c r="J63" s="337">
        <v>320</v>
      </c>
      <c r="K63" s="337">
        <v>206</v>
      </c>
      <c r="L63" s="337">
        <v>188</v>
      </c>
      <c r="M63" s="337">
        <v>271</v>
      </c>
      <c r="N63" s="337">
        <v>406</v>
      </c>
      <c r="O63" s="337">
        <v>66</v>
      </c>
      <c r="P63" s="337">
        <v>452</v>
      </c>
      <c r="Q63" s="337">
        <v>0</v>
      </c>
      <c r="R63" s="337">
        <v>0</v>
      </c>
      <c r="S63" s="337">
        <v>0</v>
      </c>
      <c r="T63" s="337">
        <f t="shared" si="12"/>
        <v>11161</v>
      </c>
      <c r="U63" s="337">
        <v>643</v>
      </c>
      <c r="V63" s="337">
        <v>1163</v>
      </c>
      <c r="W63" s="337">
        <v>901</v>
      </c>
      <c r="X63" s="337">
        <v>0</v>
      </c>
      <c r="Y63" s="337">
        <v>8042</v>
      </c>
      <c r="Z63" s="337">
        <v>252</v>
      </c>
      <c r="AA63" s="337">
        <v>160</v>
      </c>
      <c r="AB63" s="337">
        <v>0</v>
      </c>
    </row>
    <row r="64" spans="1:28" s="133" customFormat="1">
      <c r="A64" s="330" t="s">
        <v>1712</v>
      </c>
      <c r="B64" s="331">
        <v>313480</v>
      </c>
      <c r="C64" s="331">
        <v>220319</v>
      </c>
      <c r="D64" s="331">
        <v>96031</v>
      </c>
      <c r="E64" s="331">
        <v>25532</v>
      </c>
      <c r="F64" s="331">
        <v>0</v>
      </c>
      <c r="G64" s="331">
        <v>15559</v>
      </c>
      <c r="H64" s="331">
        <v>2132</v>
      </c>
      <c r="I64" s="331">
        <v>12872</v>
      </c>
      <c r="J64" s="331">
        <v>5488</v>
      </c>
      <c r="K64" s="331">
        <v>3800</v>
      </c>
      <c r="L64" s="331">
        <v>4999</v>
      </c>
      <c r="M64" s="331">
        <v>4891</v>
      </c>
      <c r="N64" s="331">
        <v>5488</v>
      </c>
      <c r="O64" s="331">
        <v>31653</v>
      </c>
      <c r="P64" s="331">
        <v>11264</v>
      </c>
      <c r="Q64" s="331">
        <v>0</v>
      </c>
      <c r="R64" s="331">
        <v>600</v>
      </c>
      <c r="S64" s="331">
        <v>10</v>
      </c>
      <c r="T64" s="331">
        <v>93161</v>
      </c>
      <c r="U64" s="331">
        <v>10999</v>
      </c>
      <c r="V64" s="331">
        <v>5594</v>
      </c>
      <c r="W64" s="331">
        <v>20842</v>
      </c>
      <c r="X64" s="331">
        <v>5073</v>
      </c>
      <c r="Y64" s="331">
        <v>49191</v>
      </c>
      <c r="Z64" s="331">
        <v>164</v>
      </c>
      <c r="AA64" s="331">
        <v>1298</v>
      </c>
      <c r="AB64" s="331">
        <v>0</v>
      </c>
    </row>
    <row r="65" spans="1:28" s="133" customFormat="1">
      <c r="A65" s="332" t="s">
        <v>1193</v>
      </c>
      <c r="B65" s="331">
        <v>14400</v>
      </c>
      <c r="C65" s="331">
        <v>600</v>
      </c>
      <c r="D65" s="331"/>
      <c r="E65" s="331"/>
      <c r="F65" s="331"/>
      <c r="G65" s="331"/>
      <c r="H65" s="331"/>
      <c r="I65" s="331"/>
      <c r="J65" s="331"/>
      <c r="K65" s="331"/>
      <c r="L65" s="331"/>
      <c r="M65" s="331"/>
      <c r="N65" s="331"/>
      <c r="O65" s="331"/>
      <c r="P65" s="331"/>
      <c r="Q65" s="331"/>
      <c r="R65" s="331">
        <v>600</v>
      </c>
      <c r="S65" s="331"/>
      <c r="T65" s="331">
        <v>13800</v>
      </c>
      <c r="U65" s="331">
        <v>4247</v>
      </c>
      <c r="V65" s="331">
        <v>2091</v>
      </c>
      <c r="W65" s="331">
        <v>2336</v>
      </c>
      <c r="X65" s="331">
        <v>1573</v>
      </c>
      <c r="Y65" s="331">
        <v>3088</v>
      </c>
      <c r="Z65" s="331"/>
      <c r="AA65" s="331">
        <v>465</v>
      </c>
      <c r="AB65" s="331"/>
    </row>
    <row r="66" spans="1:28" s="133" customFormat="1">
      <c r="A66" s="332" t="s">
        <v>1194</v>
      </c>
      <c r="B66" s="331">
        <v>299080</v>
      </c>
      <c r="C66" s="331">
        <v>219719</v>
      </c>
      <c r="D66" s="331">
        <v>96031</v>
      </c>
      <c r="E66" s="331">
        <v>25532</v>
      </c>
      <c r="F66" s="331">
        <v>0</v>
      </c>
      <c r="G66" s="331">
        <v>15559</v>
      </c>
      <c r="H66" s="331">
        <v>2132</v>
      </c>
      <c r="I66" s="331">
        <v>12872</v>
      </c>
      <c r="J66" s="331">
        <v>5488</v>
      </c>
      <c r="K66" s="331">
        <v>3800</v>
      </c>
      <c r="L66" s="331">
        <v>4999</v>
      </c>
      <c r="M66" s="331">
        <v>4891</v>
      </c>
      <c r="N66" s="331">
        <v>5488</v>
      </c>
      <c r="O66" s="331">
        <v>31653</v>
      </c>
      <c r="P66" s="331">
        <v>11264</v>
      </c>
      <c r="Q66" s="331">
        <v>0</v>
      </c>
      <c r="R66" s="331">
        <v>0</v>
      </c>
      <c r="S66" s="331">
        <v>10</v>
      </c>
      <c r="T66" s="331">
        <v>79361</v>
      </c>
      <c r="U66" s="331">
        <v>6752</v>
      </c>
      <c r="V66" s="331">
        <v>3503</v>
      </c>
      <c r="W66" s="331">
        <v>18506</v>
      </c>
      <c r="X66" s="331">
        <v>3500</v>
      </c>
      <c r="Y66" s="331">
        <v>46103</v>
      </c>
      <c r="Z66" s="331">
        <v>164</v>
      </c>
      <c r="AA66" s="331">
        <v>833</v>
      </c>
      <c r="AB66" s="331">
        <v>0</v>
      </c>
    </row>
    <row r="67" spans="1:28" s="133" customFormat="1">
      <c r="A67" s="332" t="s">
        <v>1596</v>
      </c>
      <c r="B67" s="331">
        <v>146000</v>
      </c>
      <c r="C67" s="331">
        <v>101119</v>
      </c>
      <c r="D67" s="331">
        <v>34867</v>
      </c>
      <c r="E67" s="331">
        <v>8367</v>
      </c>
      <c r="F67" s="331"/>
      <c r="G67" s="331">
        <v>3559</v>
      </c>
      <c r="H67" s="331">
        <v>1520</v>
      </c>
      <c r="I67" s="331">
        <v>5420</v>
      </c>
      <c r="J67" s="331">
        <v>4152</v>
      </c>
      <c r="K67" s="331">
        <v>2080</v>
      </c>
      <c r="L67" s="331">
        <v>3311</v>
      </c>
      <c r="M67" s="331">
        <v>4196</v>
      </c>
      <c r="N67" s="331">
        <v>4168</v>
      </c>
      <c r="O67" s="331">
        <v>20081</v>
      </c>
      <c r="P67" s="331">
        <v>9398</v>
      </c>
      <c r="Q67" s="331"/>
      <c r="R67" s="331"/>
      <c r="S67" s="331"/>
      <c r="T67" s="331">
        <v>44881</v>
      </c>
      <c r="U67" s="331">
        <v>2000</v>
      </c>
      <c r="V67" s="331">
        <v>1830</v>
      </c>
      <c r="W67" s="331">
        <v>8010</v>
      </c>
      <c r="X67" s="331"/>
      <c r="Y67" s="331">
        <v>32804</v>
      </c>
      <c r="Z67" s="331">
        <v>164</v>
      </c>
      <c r="AA67" s="331">
        <v>73</v>
      </c>
      <c r="AB67" s="331"/>
    </row>
    <row r="68" spans="1:28" s="133" customFormat="1">
      <c r="A68" s="332" t="s">
        <v>1597</v>
      </c>
      <c r="B68" s="331">
        <v>53500</v>
      </c>
      <c r="C68" s="331">
        <v>33500</v>
      </c>
      <c r="D68" s="331">
        <v>13400</v>
      </c>
      <c r="E68" s="331">
        <v>2610</v>
      </c>
      <c r="F68" s="331"/>
      <c r="G68" s="331">
        <v>1570</v>
      </c>
      <c r="H68" s="331">
        <v>600</v>
      </c>
      <c r="I68" s="331">
        <v>1290</v>
      </c>
      <c r="J68" s="331">
        <v>450</v>
      </c>
      <c r="K68" s="331">
        <v>460</v>
      </c>
      <c r="L68" s="331">
        <v>330</v>
      </c>
      <c r="M68" s="331">
        <v>560</v>
      </c>
      <c r="N68" s="331">
        <v>1020</v>
      </c>
      <c r="O68" s="331">
        <v>9500</v>
      </c>
      <c r="P68" s="331">
        <v>1700</v>
      </c>
      <c r="Q68" s="331"/>
      <c r="R68" s="331"/>
      <c r="S68" s="331">
        <v>10</v>
      </c>
      <c r="T68" s="331">
        <v>20000</v>
      </c>
      <c r="U68" s="331">
        <v>1000</v>
      </c>
      <c r="V68" s="331">
        <v>1364</v>
      </c>
      <c r="W68" s="331">
        <v>5995</v>
      </c>
      <c r="X68" s="331">
        <v>3500</v>
      </c>
      <c r="Y68" s="331">
        <v>7941</v>
      </c>
      <c r="Z68" s="331"/>
      <c r="AA68" s="331">
        <v>200</v>
      </c>
      <c r="AB68" s="331"/>
    </row>
    <row r="69" spans="1:28" s="133" customFormat="1">
      <c r="A69" s="332" t="s">
        <v>1598</v>
      </c>
      <c r="B69" s="331">
        <v>19730</v>
      </c>
      <c r="C69" s="331">
        <v>10100</v>
      </c>
      <c r="D69" s="331">
        <v>5564</v>
      </c>
      <c r="E69" s="331">
        <v>1455</v>
      </c>
      <c r="F69" s="331">
        <v>0</v>
      </c>
      <c r="G69" s="331">
        <v>330</v>
      </c>
      <c r="H69" s="331">
        <v>12</v>
      </c>
      <c r="I69" s="331">
        <v>562</v>
      </c>
      <c r="J69" s="331">
        <v>132</v>
      </c>
      <c r="K69" s="331">
        <v>114</v>
      </c>
      <c r="L69" s="331">
        <v>258</v>
      </c>
      <c r="M69" s="331">
        <v>135</v>
      </c>
      <c r="N69" s="331">
        <v>300</v>
      </c>
      <c r="O69" s="331">
        <v>1072</v>
      </c>
      <c r="P69" s="331">
        <v>166</v>
      </c>
      <c r="Q69" s="331">
        <v>0</v>
      </c>
      <c r="R69" s="331">
        <v>0</v>
      </c>
      <c r="S69" s="331">
        <v>0</v>
      </c>
      <c r="T69" s="331">
        <v>9630</v>
      </c>
      <c r="U69" s="331">
        <v>560</v>
      </c>
      <c r="V69" s="331">
        <v>220</v>
      </c>
      <c r="W69" s="331">
        <v>4480</v>
      </c>
      <c r="X69" s="331">
        <v>0</v>
      </c>
      <c r="Y69" s="331">
        <v>4100</v>
      </c>
      <c r="Z69" s="331">
        <v>0</v>
      </c>
      <c r="AA69" s="331">
        <v>270</v>
      </c>
      <c r="AB69" s="331">
        <v>0</v>
      </c>
    </row>
    <row r="70" spans="1:28" s="133" customFormat="1">
      <c r="A70" s="332" t="s">
        <v>1599</v>
      </c>
      <c r="B70" s="331">
        <v>79850</v>
      </c>
      <c r="C70" s="331">
        <v>75000</v>
      </c>
      <c r="D70" s="331">
        <v>42200</v>
      </c>
      <c r="E70" s="331">
        <v>13100</v>
      </c>
      <c r="F70" s="331"/>
      <c r="G70" s="331">
        <v>10100</v>
      </c>
      <c r="H70" s="331"/>
      <c r="I70" s="331">
        <v>5600</v>
      </c>
      <c r="J70" s="331">
        <v>754</v>
      </c>
      <c r="K70" s="331">
        <v>1146</v>
      </c>
      <c r="L70" s="331">
        <v>1100</v>
      </c>
      <c r="M70" s="331"/>
      <c r="N70" s="331"/>
      <c r="O70" s="331">
        <v>1000</v>
      </c>
      <c r="P70" s="331"/>
      <c r="Q70" s="331"/>
      <c r="R70" s="331"/>
      <c r="S70" s="331"/>
      <c r="T70" s="331">
        <v>4850</v>
      </c>
      <c r="U70" s="331">
        <v>3192</v>
      </c>
      <c r="V70" s="331">
        <v>89</v>
      </c>
      <c r="W70" s="331">
        <v>21</v>
      </c>
      <c r="X70" s="331"/>
      <c r="Y70" s="331">
        <v>1258</v>
      </c>
      <c r="Z70" s="331"/>
      <c r="AA70" s="331">
        <v>290</v>
      </c>
      <c r="AB70" s="331"/>
    </row>
    <row r="71" spans="1:28" s="142" customFormat="1">
      <c r="A71" s="330" t="s">
        <v>1713</v>
      </c>
      <c r="B71" s="337">
        <f>B72+B73</f>
        <v>1517300</v>
      </c>
      <c r="C71" s="337">
        <f t="shared" ref="C71:AB71" si="15">C72+C73</f>
        <v>1087752</v>
      </c>
      <c r="D71" s="337">
        <f t="shared" si="15"/>
        <v>409149</v>
      </c>
      <c r="E71" s="337">
        <f t="shared" si="15"/>
        <v>143573</v>
      </c>
      <c r="F71" s="337">
        <f t="shared" si="15"/>
        <v>0</v>
      </c>
      <c r="G71" s="337">
        <f t="shared" si="15"/>
        <v>34486</v>
      </c>
      <c r="H71" s="337">
        <f t="shared" si="15"/>
        <v>47584</v>
      </c>
      <c r="I71" s="337">
        <f t="shared" si="15"/>
        <v>42341</v>
      </c>
      <c r="J71" s="337">
        <f t="shared" si="15"/>
        <v>59868</v>
      </c>
      <c r="K71" s="337">
        <f t="shared" si="15"/>
        <v>21541</v>
      </c>
      <c r="L71" s="337">
        <f t="shared" si="15"/>
        <v>113837</v>
      </c>
      <c r="M71" s="337">
        <f t="shared" si="15"/>
        <v>68466</v>
      </c>
      <c r="N71" s="337">
        <f t="shared" si="15"/>
        <v>19702</v>
      </c>
      <c r="O71" s="337">
        <f t="shared" si="15"/>
        <v>59090</v>
      </c>
      <c r="P71" s="337">
        <f t="shared" si="15"/>
        <v>54915</v>
      </c>
      <c r="Q71" s="337">
        <f t="shared" si="15"/>
        <v>0</v>
      </c>
      <c r="R71" s="337">
        <f t="shared" si="15"/>
        <v>13095</v>
      </c>
      <c r="S71" s="337">
        <f t="shared" si="15"/>
        <v>105</v>
      </c>
      <c r="T71" s="337">
        <f t="shared" si="15"/>
        <v>429548</v>
      </c>
      <c r="U71" s="337">
        <f t="shared" si="15"/>
        <v>51233</v>
      </c>
      <c r="V71" s="337">
        <f t="shared" si="15"/>
        <v>41757</v>
      </c>
      <c r="W71" s="337">
        <f t="shared" si="15"/>
        <v>38415</v>
      </c>
      <c r="X71" s="337">
        <f t="shared" si="15"/>
        <v>21418</v>
      </c>
      <c r="Y71" s="337">
        <f t="shared" si="15"/>
        <v>262228</v>
      </c>
      <c r="Z71" s="337">
        <f t="shared" si="15"/>
        <v>120</v>
      </c>
      <c r="AA71" s="337">
        <f t="shared" si="15"/>
        <v>9026</v>
      </c>
      <c r="AB71" s="337">
        <f t="shared" si="15"/>
        <v>5351</v>
      </c>
    </row>
    <row r="72" spans="1:28" s="142" customFormat="1">
      <c r="A72" s="332" t="s">
        <v>1714</v>
      </c>
      <c r="B72" s="337">
        <f>C72+T72</f>
        <v>132000</v>
      </c>
      <c r="C72" s="337">
        <f>SUM(D72:S72)</f>
        <v>90000</v>
      </c>
      <c r="D72" s="337">
        <v>66000</v>
      </c>
      <c r="E72" s="337"/>
      <c r="F72" s="337"/>
      <c r="G72" s="337"/>
      <c r="H72" s="337">
        <v>19000</v>
      </c>
      <c r="I72" s="337"/>
      <c r="J72" s="337"/>
      <c r="K72" s="337"/>
      <c r="L72" s="337"/>
      <c r="M72" s="337"/>
      <c r="N72" s="337"/>
      <c r="O72" s="337"/>
      <c r="P72" s="337"/>
      <c r="Q72" s="337"/>
      <c r="R72" s="337">
        <v>5000</v>
      </c>
      <c r="S72" s="337"/>
      <c r="T72" s="337">
        <f>SUM(U72:AB72)</f>
        <v>42000</v>
      </c>
      <c r="U72" s="337">
        <v>8840</v>
      </c>
      <c r="V72" s="337">
        <v>11444</v>
      </c>
      <c r="W72" s="337">
        <v>10580</v>
      </c>
      <c r="X72" s="337"/>
      <c r="Y72" s="337">
        <v>1800</v>
      </c>
      <c r="Z72" s="337"/>
      <c r="AA72" s="337">
        <v>6036</v>
      </c>
      <c r="AB72" s="337">
        <v>3300</v>
      </c>
    </row>
    <row r="73" spans="1:28" s="142" customFormat="1">
      <c r="A73" s="332" t="s">
        <v>1194</v>
      </c>
      <c r="B73" s="337">
        <f>SUM(B74:B82)</f>
        <v>1385300</v>
      </c>
      <c r="C73" s="337">
        <f t="shared" ref="C73:AB73" si="16">SUM(C74:C82)</f>
        <v>997752</v>
      </c>
      <c r="D73" s="337">
        <f t="shared" si="16"/>
        <v>343149</v>
      </c>
      <c r="E73" s="337">
        <f t="shared" si="16"/>
        <v>143573</v>
      </c>
      <c r="F73" s="337">
        <f t="shared" si="16"/>
        <v>0</v>
      </c>
      <c r="G73" s="337">
        <f t="shared" si="16"/>
        <v>34486</v>
      </c>
      <c r="H73" s="337">
        <f t="shared" si="16"/>
        <v>28584</v>
      </c>
      <c r="I73" s="337">
        <f t="shared" si="16"/>
        <v>42341</v>
      </c>
      <c r="J73" s="337">
        <f t="shared" si="16"/>
        <v>59868</v>
      </c>
      <c r="K73" s="337">
        <f t="shared" si="16"/>
        <v>21541</v>
      </c>
      <c r="L73" s="337">
        <f t="shared" si="16"/>
        <v>113837</v>
      </c>
      <c r="M73" s="337">
        <f t="shared" si="16"/>
        <v>68466</v>
      </c>
      <c r="N73" s="337">
        <f t="shared" si="16"/>
        <v>19702</v>
      </c>
      <c r="O73" s="337">
        <f t="shared" si="16"/>
        <v>59090</v>
      </c>
      <c r="P73" s="337">
        <f t="shared" si="16"/>
        <v>54915</v>
      </c>
      <c r="Q73" s="337">
        <f t="shared" si="16"/>
        <v>0</v>
      </c>
      <c r="R73" s="337">
        <f t="shared" si="16"/>
        <v>8095</v>
      </c>
      <c r="S73" s="337">
        <f t="shared" si="16"/>
        <v>105</v>
      </c>
      <c r="T73" s="337">
        <f t="shared" si="16"/>
        <v>387548</v>
      </c>
      <c r="U73" s="337">
        <f t="shared" si="16"/>
        <v>42393</v>
      </c>
      <c r="V73" s="337">
        <f t="shared" si="16"/>
        <v>30313</v>
      </c>
      <c r="W73" s="337">
        <f t="shared" si="16"/>
        <v>27835</v>
      </c>
      <c r="X73" s="337">
        <f t="shared" si="16"/>
        <v>21418</v>
      </c>
      <c r="Y73" s="337">
        <f t="shared" si="16"/>
        <v>260428</v>
      </c>
      <c r="Z73" s="337">
        <f t="shared" si="16"/>
        <v>120</v>
      </c>
      <c r="AA73" s="337">
        <f t="shared" si="16"/>
        <v>2990</v>
      </c>
      <c r="AB73" s="337">
        <f t="shared" si="16"/>
        <v>2051</v>
      </c>
    </row>
    <row r="74" spans="1:28" s="142" customFormat="1">
      <c r="A74" s="332" t="s">
        <v>1715</v>
      </c>
      <c r="B74" s="337">
        <f>C74+T74</f>
        <v>101848</v>
      </c>
      <c r="C74" s="337">
        <f>SUM(D74:S74)</f>
        <v>53640</v>
      </c>
      <c r="D74" s="337">
        <v>18963</v>
      </c>
      <c r="E74" s="337">
        <v>8939</v>
      </c>
      <c r="F74" s="337"/>
      <c r="G74" s="337">
        <v>1559</v>
      </c>
      <c r="H74" s="337">
        <v>220</v>
      </c>
      <c r="I74" s="337">
        <v>1809</v>
      </c>
      <c r="J74" s="337">
        <v>3578</v>
      </c>
      <c r="K74" s="337">
        <v>1605</v>
      </c>
      <c r="L74" s="337">
        <v>3895</v>
      </c>
      <c r="M74" s="337">
        <v>4185</v>
      </c>
      <c r="N74" s="337">
        <v>1010</v>
      </c>
      <c r="O74" s="337">
        <v>4523</v>
      </c>
      <c r="P74" s="337">
        <v>2854</v>
      </c>
      <c r="Q74" s="337"/>
      <c r="R74" s="337">
        <v>495</v>
      </c>
      <c r="S74" s="337">
        <v>5</v>
      </c>
      <c r="T74" s="337">
        <f>SUM(U74:AB74)</f>
        <v>48208</v>
      </c>
      <c r="U74" s="337">
        <v>2536</v>
      </c>
      <c r="V74" s="337">
        <v>2563</v>
      </c>
      <c r="W74" s="337">
        <v>3405</v>
      </c>
      <c r="X74" s="337"/>
      <c r="Y74" s="337">
        <v>39173</v>
      </c>
      <c r="Z74" s="337">
        <v>120</v>
      </c>
      <c r="AA74" s="337">
        <v>30</v>
      </c>
      <c r="AB74" s="337">
        <v>381</v>
      </c>
    </row>
    <row r="75" spans="1:28" s="142" customFormat="1">
      <c r="A75" s="332" t="s">
        <v>1716</v>
      </c>
      <c r="B75" s="337">
        <f t="shared" ref="B75:B82" si="17">C75+T75</f>
        <v>105270</v>
      </c>
      <c r="C75" s="337">
        <f t="shared" ref="C75:C82" si="18">SUM(D75:S75)</f>
        <v>59670</v>
      </c>
      <c r="D75" s="337">
        <v>25250</v>
      </c>
      <c r="E75" s="337">
        <v>7700</v>
      </c>
      <c r="F75" s="337"/>
      <c r="G75" s="337">
        <v>2500</v>
      </c>
      <c r="H75" s="337">
        <v>3490</v>
      </c>
      <c r="I75" s="337">
        <v>1700</v>
      </c>
      <c r="J75" s="337">
        <v>4000</v>
      </c>
      <c r="K75" s="337">
        <v>1500</v>
      </c>
      <c r="L75" s="337">
        <v>7800</v>
      </c>
      <c r="M75" s="337">
        <v>800</v>
      </c>
      <c r="N75" s="337">
        <v>1600</v>
      </c>
      <c r="O75" s="337">
        <v>130</v>
      </c>
      <c r="P75" s="337">
        <v>3200</v>
      </c>
      <c r="Q75" s="337"/>
      <c r="R75" s="337"/>
      <c r="S75" s="337"/>
      <c r="T75" s="337">
        <f t="shared" ref="T75:T82" si="19">SUM(U75:AB75)</f>
        <v>45600</v>
      </c>
      <c r="U75" s="337">
        <v>2000</v>
      </c>
      <c r="V75" s="337">
        <v>3200</v>
      </c>
      <c r="W75" s="337">
        <v>4200</v>
      </c>
      <c r="X75" s="337"/>
      <c r="Y75" s="337">
        <v>35750</v>
      </c>
      <c r="Z75" s="337"/>
      <c r="AA75" s="337">
        <v>450</v>
      </c>
      <c r="AB75" s="337"/>
    </row>
    <row r="76" spans="1:28" s="142" customFormat="1">
      <c r="A76" s="332" t="s">
        <v>1717</v>
      </c>
      <c r="B76" s="337">
        <f t="shared" si="17"/>
        <v>420286</v>
      </c>
      <c r="C76" s="337">
        <f t="shared" si="18"/>
        <v>297506</v>
      </c>
      <c r="D76" s="337">
        <v>85630</v>
      </c>
      <c r="E76" s="337">
        <v>25208</v>
      </c>
      <c r="F76" s="337">
        <v>0</v>
      </c>
      <c r="G76" s="337">
        <v>16154</v>
      </c>
      <c r="H76" s="337">
        <v>1061</v>
      </c>
      <c r="I76" s="337">
        <v>12566</v>
      </c>
      <c r="J76" s="337">
        <v>17500</v>
      </c>
      <c r="K76" s="337">
        <v>6372</v>
      </c>
      <c r="L76" s="337">
        <v>41664</v>
      </c>
      <c r="M76" s="337">
        <v>40818</v>
      </c>
      <c r="N76" s="337">
        <v>7427</v>
      </c>
      <c r="O76" s="337">
        <v>15027</v>
      </c>
      <c r="P76" s="337">
        <v>27809</v>
      </c>
      <c r="Q76" s="337"/>
      <c r="R76" s="337">
        <v>170</v>
      </c>
      <c r="S76" s="337">
        <v>100</v>
      </c>
      <c r="T76" s="337">
        <f t="shared" si="19"/>
        <v>122780</v>
      </c>
      <c r="U76" s="337">
        <v>13962</v>
      </c>
      <c r="V76" s="337">
        <v>8800</v>
      </c>
      <c r="W76" s="337">
        <v>5600</v>
      </c>
      <c r="X76" s="337">
        <v>8418</v>
      </c>
      <c r="Y76" s="337">
        <v>85700</v>
      </c>
      <c r="Z76" s="337">
        <v>0</v>
      </c>
      <c r="AA76" s="337">
        <v>300</v>
      </c>
      <c r="AB76" s="337">
        <v>0</v>
      </c>
    </row>
    <row r="77" spans="1:28" s="142" customFormat="1">
      <c r="A77" s="333" t="s">
        <v>1718</v>
      </c>
      <c r="B77" s="337">
        <f t="shared" si="17"/>
        <v>201500</v>
      </c>
      <c r="C77" s="337">
        <f t="shared" si="18"/>
        <v>116500</v>
      </c>
      <c r="D77" s="337">
        <v>47350</v>
      </c>
      <c r="E77" s="337">
        <v>4950</v>
      </c>
      <c r="F77" s="337"/>
      <c r="G77" s="337">
        <v>3130</v>
      </c>
      <c r="H77" s="337">
        <v>1350</v>
      </c>
      <c r="I77" s="337">
        <v>6350</v>
      </c>
      <c r="J77" s="337">
        <v>12050</v>
      </c>
      <c r="K77" s="337">
        <v>2870</v>
      </c>
      <c r="L77" s="337">
        <v>17650</v>
      </c>
      <c r="M77" s="337">
        <v>7540</v>
      </c>
      <c r="N77" s="337">
        <v>3020</v>
      </c>
      <c r="O77" s="337">
        <v>3650</v>
      </c>
      <c r="P77" s="337">
        <v>5840</v>
      </c>
      <c r="Q77" s="337"/>
      <c r="R77" s="337">
        <v>750</v>
      </c>
      <c r="S77" s="337"/>
      <c r="T77" s="337">
        <f t="shared" si="19"/>
        <v>85000</v>
      </c>
      <c r="U77" s="337">
        <v>5500</v>
      </c>
      <c r="V77" s="337">
        <v>7000</v>
      </c>
      <c r="W77" s="337">
        <v>3500</v>
      </c>
      <c r="X77" s="337">
        <v>13000</v>
      </c>
      <c r="Y77" s="337">
        <v>55000</v>
      </c>
      <c r="Z77" s="337"/>
      <c r="AA77" s="337">
        <v>100</v>
      </c>
      <c r="AB77" s="337">
        <v>900</v>
      </c>
    </row>
    <row r="78" spans="1:28" s="142" customFormat="1">
      <c r="A78" s="333" t="s">
        <v>1719</v>
      </c>
      <c r="B78" s="337">
        <f t="shared" si="17"/>
        <v>73100</v>
      </c>
      <c r="C78" s="337">
        <f t="shared" si="18"/>
        <v>66050</v>
      </c>
      <c r="D78" s="337">
        <v>20000</v>
      </c>
      <c r="E78" s="337">
        <v>3500</v>
      </c>
      <c r="F78" s="337"/>
      <c r="G78" s="337">
        <v>1900</v>
      </c>
      <c r="H78" s="337">
        <v>4920</v>
      </c>
      <c r="I78" s="337">
        <v>2660</v>
      </c>
      <c r="J78" s="337">
        <v>3415</v>
      </c>
      <c r="K78" s="337">
        <v>1050</v>
      </c>
      <c r="L78" s="337">
        <v>16575</v>
      </c>
      <c r="M78" s="337">
        <v>4290</v>
      </c>
      <c r="N78" s="337">
        <v>2145</v>
      </c>
      <c r="O78" s="337">
        <v>500</v>
      </c>
      <c r="P78" s="337">
        <v>4895</v>
      </c>
      <c r="Q78" s="337"/>
      <c r="R78" s="337">
        <v>200</v>
      </c>
      <c r="S78" s="337"/>
      <c r="T78" s="337">
        <f t="shared" si="19"/>
        <v>7050</v>
      </c>
      <c r="U78" s="337">
        <v>1410</v>
      </c>
      <c r="V78" s="337">
        <v>2800</v>
      </c>
      <c r="W78" s="337">
        <v>1930</v>
      </c>
      <c r="X78" s="337"/>
      <c r="Y78" s="337">
        <v>600</v>
      </c>
      <c r="Z78" s="337"/>
      <c r="AA78" s="337">
        <v>160</v>
      </c>
      <c r="AB78" s="337">
        <v>150</v>
      </c>
    </row>
    <row r="79" spans="1:28" s="142" customFormat="1">
      <c r="A79" s="333" t="s">
        <v>1720</v>
      </c>
      <c r="B79" s="337">
        <f t="shared" si="17"/>
        <v>86003</v>
      </c>
      <c r="C79" s="337">
        <f t="shared" si="18"/>
        <v>47003</v>
      </c>
      <c r="D79" s="337">
        <v>14000</v>
      </c>
      <c r="E79" s="337">
        <v>2603</v>
      </c>
      <c r="F79" s="337"/>
      <c r="G79" s="337">
        <v>1600</v>
      </c>
      <c r="H79" s="337">
        <v>700</v>
      </c>
      <c r="I79" s="337">
        <v>1700</v>
      </c>
      <c r="J79" s="337">
        <v>2600</v>
      </c>
      <c r="K79" s="337">
        <v>1100</v>
      </c>
      <c r="L79" s="337">
        <v>4300</v>
      </c>
      <c r="M79" s="337">
        <v>2240</v>
      </c>
      <c r="N79" s="337">
        <v>2100</v>
      </c>
      <c r="O79" s="337">
        <v>9200</v>
      </c>
      <c r="P79" s="337">
        <v>4400</v>
      </c>
      <c r="Q79" s="337"/>
      <c r="R79" s="337">
        <v>460</v>
      </c>
      <c r="S79" s="337"/>
      <c r="T79" s="337">
        <f t="shared" si="19"/>
        <v>39000</v>
      </c>
      <c r="U79" s="337">
        <v>1820</v>
      </c>
      <c r="V79" s="337">
        <v>3150</v>
      </c>
      <c r="W79" s="337">
        <v>3800</v>
      </c>
      <c r="X79" s="337"/>
      <c r="Y79" s="337">
        <v>29780</v>
      </c>
      <c r="Z79" s="337"/>
      <c r="AA79" s="337">
        <v>450</v>
      </c>
      <c r="AB79" s="337"/>
    </row>
    <row r="80" spans="1:28" s="142" customFormat="1">
      <c r="A80" s="333" t="s">
        <v>1721</v>
      </c>
      <c r="B80" s="337">
        <f t="shared" si="17"/>
        <v>46869</v>
      </c>
      <c r="C80" s="337">
        <f t="shared" si="18"/>
        <v>31665</v>
      </c>
      <c r="D80" s="337">
        <v>6600</v>
      </c>
      <c r="E80" s="337">
        <v>1680</v>
      </c>
      <c r="F80" s="337"/>
      <c r="G80" s="337">
        <v>460</v>
      </c>
      <c r="H80" s="337">
        <v>30</v>
      </c>
      <c r="I80" s="337">
        <v>850</v>
      </c>
      <c r="J80" s="337">
        <v>422</v>
      </c>
      <c r="K80" s="337">
        <v>890</v>
      </c>
      <c r="L80" s="337">
        <v>780</v>
      </c>
      <c r="M80" s="337">
        <v>240</v>
      </c>
      <c r="N80" s="337">
        <v>450</v>
      </c>
      <c r="O80" s="337">
        <v>18720</v>
      </c>
      <c r="P80" s="337">
        <v>523</v>
      </c>
      <c r="Q80" s="337"/>
      <c r="R80" s="337">
        <v>20</v>
      </c>
      <c r="S80" s="337"/>
      <c r="T80" s="337">
        <f t="shared" si="19"/>
        <v>15204</v>
      </c>
      <c r="U80" s="337">
        <v>1100</v>
      </c>
      <c r="V80" s="337">
        <v>1950</v>
      </c>
      <c r="W80" s="337">
        <v>3500</v>
      </c>
      <c r="X80" s="337"/>
      <c r="Y80" s="337">
        <v>8034</v>
      </c>
      <c r="Z80" s="337"/>
      <c r="AA80" s="337"/>
      <c r="AB80" s="337">
        <v>620</v>
      </c>
    </row>
    <row r="81" spans="1:28" s="142" customFormat="1">
      <c r="A81" s="333" t="s">
        <v>1722</v>
      </c>
      <c r="B81" s="337">
        <f t="shared" si="17"/>
        <v>54638</v>
      </c>
      <c r="C81" s="337">
        <f t="shared" si="18"/>
        <v>49382</v>
      </c>
      <c r="D81" s="337">
        <v>9096</v>
      </c>
      <c r="E81" s="337">
        <v>5814</v>
      </c>
      <c r="F81" s="337"/>
      <c r="G81" s="337">
        <v>2500</v>
      </c>
      <c r="H81" s="337"/>
      <c r="I81" s="337">
        <v>3300</v>
      </c>
      <c r="J81" s="337">
        <v>2376</v>
      </c>
      <c r="K81" s="337">
        <v>940</v>
      </c>
      <c r="L81" s="337">
        <v>7312</v>
      </c>
      <c r="M81" s="337">
        <v>8219</v>
      </c>
      <c r="N81" s="337">
        <v>1750</v>
      </c>
      <c r="O81" s="337">
        <v>3840</v>
      </c>
      <c r="P81" s="337">
        <v>4235</v>
      </c>
      <c r="Q81" s="337"/>
      <c r="R81" s="337"/>
      <c r="S81" s="337"/>
      <c r="T81" s="337">
        <f t="shared" si="19"/>
        <v>5256</v>
      </c>
      <c r="U81" s="337">
        <v>65</v>
      </c>
      <c r="V81" s="337"/>
      <c r="W81" s="337"/>
      <c r="X81" s="337"/>
      <c r="Y81" s="337">
        <v>5191</v>
      </c>
      <c r="Z81" s="337"/>
      <c r="AA81" s="337"/>
      <c r="AB81" s="337"/>
    </row>
    <row r="82" spans="1:28" s="142" customFormat="1">
      <c r="A82" s="333" t="s">
        <v>1723</v>
      </c>
      <c r="B82" s="337">
        <f t="shared" si="17"/>
        <v>295786</v>
      </c>
      <c r="C82" s="337">
        <f t="shared" si="18"/>
        <v>276336</v>
      </c>
      <c r="D82" s="337">
        <v>116260</v>
      </c>
      <c r="E82" s="337">
        <v>83179</v>
      </c>
      <c r="F82" s="337"/>
      <c r="G82" s="337">
        <v>4683</v>
      </c>
      <c r="H82" s="337">
        <v>16813</v>
      </c>
      <c r="I82" s="337">
        <v>11406</v>
      </c>
      <c r="J82" s="337">
        <v>13927</v>
      </c>
      <c r="K82" s="337">
        <v>5214</v>
      </c>
      <c r="L82" s="337">
        <v>13861</v>
      </c>
      <c r="M82" s="337">
        <v>134</v>
      </c>
      <c r="N82" s="337">
        <v>200</v>
      </c>
      <c r="O82" s="337">
        <v>3500</v>
      </c>
      <c r="P82" s="337">
        <v>1159</v>
      </c>
      <c r="Q82" s="337"/>
      <c r="R82" s="337">
        <v>6000</v>
      </c>
      <c r="S82" s="337"/>
      <c r="T82" s="337">
        <f t="shared" si="19"/>
        <v>19450</v>
      </c>
      <c r="U82" s="337">
        <v>14000</v>
      </c>
      <c r="V82" s="337">
        <v>850</v>
      </c>
      <c r="W82" s="337">
        <v>1900</v>
      </c>
      <c r="X82" s="337"/>
      <c r="Y82" s="337">
        <v>1200</v>
      </c>
      <c r="Z82" s="337"/>
      <c r="AA82" s="337">
        <v>1500</v>
      </c>
      <c r="AB82" s="337"/>
    </row>
    <row r="83" spans="1:28" s="132" customFormat="1" ht="12">
      <c r="A83" s="338" t="s">
        <v>1724</v>
      </c>
      <c r="B83" s="331">
        <f>C83+T83</f>
        <v>939013</v>
      </c>
      <c r="C83" s="331">
        <f>SUM(D83:S83)</f>
        <v>675671</v>
      </c>
      <c r="D83" s="339">
        <f>SUM(D84:D86)</f>
        <v>250127</v>
      </c>
      <c r="E83" s="339">
        <f t="shared" ref="E83:AB83" si="20">SUM(E84:E86)</f>
        <v>56494</v>
      </c>
      <c r="F83" s="339">
        <f t="shared" si="20"/>
        <v>0</v>
      </c>
      <c r="G83" s="339">
        <f t="shared" si="20"/>
        <v>27564</v>
      </c>
      <c r="H83" s="339">
        <f t="shared" si="20"/>
        <v>71261</v>
      </c>
      <c r="I83" s="339">
        <f t="shared" si="20"/>
        <v>32299</v>
      </c>
      <c r="J83" s="339">
        <f t="shared" si="20"/>
        <v>33780</v>
      </c>
      <c r="K83" s="339">
        <f t="shared" si="20"/>
        <v>14541</v>
      </c>
      <c r="L83" s="339">
        <f t="shared" si="20"/>
        <v>58817</v>
      </c>
      <c r="M83" s="339">
        <f t="shared" si="20"/>
        <v>39665</v>
      </c>
      <c r="N83" s="339">
        <f t="shared" si="20"/>
        <v>17721</v>
      </c>
      <c r="O83" s="339">
        <f t="shared" si="20"/>
        <v>40655</v>
      </c>
      <c r="P83" s="339">
        <f t="shared" si="20"/>
        <v>28902</v>
      </c>
      <c r="Q83" s="339">
        <f t="shared" si="20"/>
        <v>0</v>
      </c>
      <c r="R83" s="339">
        <f t="shared" si="20"/>
        <v>1250</v>
      </c>
      <c r="S83" s="339">
        <f t="shared" si="20"/>
        <v>2595</v>
      </c>
      <c r="T83" s="339">
        <f t="shared" si="20"/>
        <v>263342</v>
      </c>
      <c r="U83" s="339">
        <f t="shared" si="20"/>
        <v>31627</v>
      </c>
      <c r="V83" s="339">
        <f t="shared" si="20"/>
        <v>33255</v>
      </c>
      <c r="W83" s="339">
        <f t="shared" si="20"/>
        <v>40695</v>
      </c>
      <c r="X83" s="339">
        <f t="shared" si="20"/>
        <v>3385</v>
      </c>
      <c r="Y83" s="339">
        <f t="shared" si="20"/>
        <v>132801</v>
      </c>
      <c r="Z83" s="339">
        <f t="shared" si="20"/>
        <v>4102</v>
      </c>
      <c r="AA83" s="339">
        <f t="shared" si="20"/>
        <v>11349</v>
      </c>
      <c r="AB83" s="339">
        <f t="shared" si="20"/>
        <v>6128</v>
      </c>
    </row>
    <row r="84" spans="1:28" s="132" customFormat="1" ht="12">
      <c r="A84" s="340" t="s">
        <v>1725</v>
      </c>
      <c r="B84" s="331">
        <f>C84+T84</f>
        <v>96203</v>
      </c>
      <c r="C84" s="331">
        <f>SUM(D84:S84)</f>
        <v>50040</v>
      </c>
      <c r="D84" s="339">
        <v>23000</v>
      </c>
      <c r="E84" s="339"/>
      <c r="F84" s="339"/>
      <c r="G84" s="339"/>
      <c r="H84" s="339">
        <v>25790</v>
      </c>
      <c r="I84" s="339"/>
      <c r="J84" s="339"/>
      <c r="K84" s="339"/>
      <c r="L84" s="339"/>
      <c r="M84" s="339"/>
      <c r="N84" s="339"/>
      <c r="O84" s="339"/>
      <c r="P84" s="339"/>
      <c r="Q84" s="339"/>
      <c r="R84" s="339">
        <v>1250</v>
      </c>
      <c r="S84" s="339"/>
      <c r="T84" s="331">
        <f t="shared" ref="T84:T95" si="21">SUM(U84:AB84)</f>
        <v>46163</v>
      </c>
      <c r="U84" s="339">
        <v>3860</v>
      </c>
      <c r="V84" s="339">
        <v>7700</v>
      </c>
      <c r="W84" s="339">
        <v>15500</v>
      </c>
      <c r="X84" s="339"/>
      <c r="Y84" s="339">
        <v>7500</v>
      </c>
      <c r="Z84" s="339">
        <v>3800</v>
      </c>
      <c r="AA84" s="339">
        <v>7600</v>
      </c>
      <c r="AB84" s="339">
        <v>203</v>
      </c>
    </row>
    <row r="85" spans="1:28" s="132" customFormat="1" ht="12">
      <c r="A85" s="332" t="s">
        <v>1726</v>
      </c>
      <c r="B85" s="331">
        <f>C85+T85</f>
        <v>57800</v>
      </c>
      <c r="C85" s="331">
        <f>SUM(D85:S85)</f>
        <v>53700</v>
      </c>
      <c r="D85" s="331">
        <v>18500</v>
      </c>
      <c r="E85" s="331">
        <v>4500</v>
      </c>
      <c r="F85" s="331"/>
      <c r="G85" s="331">
        <v>2250</v>
      </c>
      <c r="H85" s="331">
        <v>300</v>
      </c>
      <c r="I85" s="331">
        <v>3400</v>
      </c>
      <c r="J85" s="331">
        <v>6600</v>
      </c>
      <c r="K85" s="331">
        <v>1800</v>
      </c>
      <c r="L85" s="331">
        <v>10700</v>
      </c>
      <c r="M85" s="331">
        <v>2400</v>
      </c>
      <c r="N85" s="331">
        <v>600</v>
      </c>
      <c r="O85" s="331"/>
      <c r="P85" s="331">
        <v>2600</v>
      </c>
      <c r="Q85" s="331"/>
      <c r="R85" s="331"/>
      <c r="S85" s="331">
        <v>50</v>
      </c>
      <c r="T85" s="331">
        <f>SUM(U85:AB85)</f>
        <v>4100</v>
      </c>
      <c r="U85" s="331">
        <v>2500</v>
      </c>
      <c r="V85" s="331">
        <v>150</v>
      </c>
      <c r="W85" s="331">
        <v>400</v>
      </c>
      <c r="X85" s="331">
        <v>800</v>
      </c>
      <c r="Y85" s="331">
        <v>100</v>
      </c>
      <c r="Z85" s="331"/>
      <c r="AA85" s="331">
        <v>150</v>
      </c>
      <c r="AB85" s="331">
        <v>0</v>
      </c>
    </row>
    <row r="86" spans="1:28" s="132" customFormat="1" ht="12">
      <c r="A86" s="332" t="s">
        <v>1194</v>
      </c>
      <c r="B86" s="331">
        <f>C86+T86</f>
        <v>785010</v>
      </c>
      <c r="C86" s="331">
        <f>SUM(D86:S86)</f>
        <v>571931</v>
      </c>
      <c r="D86" s="331">
        <f>SUM(D87:D95)</f>
        <v>208627</v>
      </c>
      <c r="E86" s="331">
        <f t="shared" ref="E86:S86" si="22">SUM(E87:E95)</f>
        <v>51994</v>
      </c>
      <c r="F86" s="331">
        <f t="shared" si="22"/>
        <v>0</v>
      </c>
      <c r="G86" s="331">
        <f t="shared" si="22"/>
        <v>25314</v>
      </c>
      <c r="H86" s="331">
        <f t="shared" si="22"/>
        <v>45171</v>
      </c>
      <c r="I86" s="331">
        <f t="shared" si="22"/>
        <v>28899</v>
      </c>
      <c r="J86" s="331">
        <f t="shared" si="22"/>
        <v>27180</v>
      </c>
      <c r="K86" s="331">
        <f t="shared" si="22"/>
        <v>12741</v>
      </c>
      <c r="L86" s="331">
        <f t="shared" si="22"/>
        <v>48117</v>
      </c>
      <c r="M86" s="331">
        <f t="shared" si="22"/>
        <v>37265</v>
      </c>
      <c r="N86" s="331">
        <f t="shared" si="22"/>
        <v>17121</v>
      </c>
      <c r="O86" s="331">
        <f t="shared" si="22"/>
        <v>40655</v>
      </c>
      <c r="P86" s="331">
        <f t="shared" si="22"/>
        <v>26302</v>
      </c>
      <c r="Q86" s="331">
        <f t="shared" si="22"/>
        <v>0</v>
      </c>
      <c r="R86" s="331">
        <f t="shared" si="22"/>
        <v>0</v>
      </c>
      <c r="S86" s="331">
        <f t="shared" si="22"/>
        <v>2545</v>
      </c>
      <c r="T86" s="331">
        <f t="shared" si="21"/>
        <v>213079</v>
      </c>
      <c r="U86" s="331">
        <f>SUM(U87:U95)</f>
        <v>25267</v>
      </c>
      <c r="V86" s="331">
        <f t="shared" ref="V86:AB86" si="23">SUM(V87:V95)</f>
        <v>25405</v>
      </c>
      <c r="W86" s="331">
        <f t="shared" si="23"/>
        <v>24795</v>
      </c>
      <c r="X86" s="331">
        <f t="shared" si="23"/>
        <v>2585</v>
      </c>
      <c r="Y86" s="331">
        <f t="shared" si="23"/>
        <v>125201</v>
      </c>
      <c r="Z86" s="331">
        <f t="shared" si="23"/>
        <v>302</v>
      </c>
      <c r="AA86" s="331">
        <f t="shared" si="23"/>
        <v>3599</v>
      </c>
      <c r="AB86" s="331">
        <f t="shared" si="23"/>
        <v>5925</v>
      </c>
    </row>
    <row r="87" spans="1:28" s="132" customFormat="1" ht="12">
      <c r="A87" s="332" t="s">
        <v>1727</v>
      </c>
      <c r="B87" s="331">
        <f t="shared" ref="B87:B95" si="24">C87+T87</f>
        <v>367457</v>
      </c>
      <c r="C87" s="331">
        <f t="shared" ref="C87:C95" si="25">SUM(D87:S87)</f>
        <v>275593</v>
      </c>
      <c r="D87" s="331">
        <v>91783</v>
      </c>
      <c r="E87" s="331">
        <v>26836</v>
      </c>
      <c r="F87" s="331">
        <v>0</v>
      </c>
      <c r="G87" s="331">
        <v>17203</v>
      </c>
      <c r="H87" s="331">
        <v>2239</v>
      </c>
      <c r="I87" s="331">
        <v>15675</v>
      </c>
      <c r="J87" s="331">
        <v>16424</v>
      </c>
      <c r="K87" s="331">
        <v>7886</v>
      </c>
      <c r="L87" s="331">
        <v>24169</v>
      </c>
      <c r="M87" s="331">
        <v>30080</v>
      </c>
      <c r="N87" s="331">
        <v>10189</v>
      </c>
      <c r="O87" s="331">
        <v>10882</v>
      </c>
      <c r="P87" s="331">
        <v>19753</v>
      </c>
      <c r="Q87" s="331">
        <v>0</v>
      </c>
      <c r="R87" s="331">
        <v>0</v>
      </c>
      <c r="S87" s="331">
        <v>2474</v>
      </c>
      <c r="T87" s="331">
        <f t="shared" si="21"/>
        <v>91864</v>
      </c>
      <c r="U87" s="331">
        <v>14232</v>
      </c>
      <c r="V87" s="331">
        <v>14238</v>
      </c>
      <c r="W87" s="331">
        <v>8008</v>
      </c>
      <c r="X87" s="331">
        <v>2308</v>
      </c>
      <c r="Y87" s="331">
        <v>52242</v>
      </c>
      <c r="Z87" s="331">
        <v>0</v>
      </c>
      <c r="AA87" s="331">
        <v>0</v>
      </c>
      <c r="AB87" s="331">
        <v>836</v>
      </c>
    </row>
    <row r="88" spans="1:28" s="132" customFormat="1" ht="12">
      <c r="A88" s="332" t="s">
        <v>1600</v>
      </c>
      <c r="B88" s="331">
        <f t="shared" si="24"/>
        <v>101910</v>
      </c>
      <c r="C88" s="331">
        <f t="shared" si="25"/>
        <v>93050</v>
      </c>
      <c r="D88" s="331">
        <v>32170</v>
      </c>
      <c r="E88" s="331">
        <v>4800</v>
      </c>
      <c r="F88" s="331"/>
      <c r="G88" s="331">
        <v>2140</v>
      </c>
      <c r="H88" s="331">
        <v>6950</v>
      </c>
      <c r="I88" s="331">
        <v>3830</v>
      </c>
      <c r="J88" s="331">
        <v>2750</v>
      </c>
      <c r="K88" s="331">
        <v>1330</v>
      </c>
      <c r="L88" s="331">
        <v>13890</v>
      </c>
      <c r="M88" s="331">
        <v>390</v>
      </c>
      <c r="N88" s="331">
        <v>1460</v>
      </c>
      <c r="O88" s="331">
        <v>22540</v>
      </c>
      <c r="P88" s="331">
        <v>730</v>
      </c>
      <c r="Q88" s="331"/>
      <c r="R88" s="331"/>
      <c r="S88" s="331">
        <v>70</v>
      </c>
      <c r="T88" s="331">
        <f t="shared" si="21"/>
        <v>8860</v>
      </c>
      <c r="U88" s="331">
        <v>2880</v>
      </c>
      <c r="V88" s="331">
        <v>410</v>
      </c>
      <c r="W88" s="331">
        <v>2800</v>
      </c>
      <c r="X88" s="331"/>
      <c r="Y88" s="331">
        <v>2000</v>
      </c>
      <c r="Z88" s="331"/>
      <c r="AA88" s="331">
        <v>20</v>
      </c>
      <c r="AB88" s="331">
        <v>750</v>
      </c>
    </row>
    <row r="89" spans="1:28" s="132" customFormat="1" ht="12">
      <c r="A89" s="332" t="s">
        <v>1601</v>
      </c>
      <c r="B89" s="331">
        <f t="shared" si="24"/>
        <v>33071</v>
      </c>
      <c r="C89" s="331">
        <f t="shared" si="25"/>
        <v>22580</v>
      </c>
      <c r="D89" s="331">
        <v>8200</v>
      </c>
      <c r="E89" s="331">
        <v>3035</v>
      </c>
      <c r="F89" s="331"/>
      <c r="G89" s="331">
        <v>1095</v>
      </c>
      <c r="H89" s="331">
        <v>235</v>
      </c>
      <c r="I89" s="331">
        <v>835</v>
      </c>
      <c r="J89" s="331">
        <v>1027</v>
      </c>
      <c r="K89" s="331">
        <v>425</v>
      </c>
      <c r="L89" s="331">
        <v>2229</v>
      </c>
      <c r="M89" s="331">
        <v>3018</v>
      </c>
      <c r="N89" s="331">
        <v>829</v>
      </c>
      <c r="O89" s="331">
        <v>898</v>
      </c>
      <c r="P89" s="331">
        <v>754</v>
      </c>
      <c r="Q89" s="331"/>
      <c r="R89" s="331"/>
      <c r="S89" s="331"/>
      <c r="T89" s="331">
        <f t="shared" si="21"/>
        <v>10491</v>
      </c>
      <c r="U89" s="331">
        <v>540</v>
      </c>
      <c r="V89" s="331">
        <v>640</v>
      </c>
      <c r="W89" s="331">
        <v>2130</v>
      </c>
      <c r="X89" s="331"/>
      <c r="Y89" s="331">
        <v>5325</v>
      </c>
      <c r="Z89" s="331"/>
      <c r="AA89" s="331">
        <v>426</v>
      </c>
      <c r="AB89" s="331">
        <v>1430</v>
      </c>
    </row>
    <row r="90" spans="1:28" s="132" customFormat="1" ht="12">
      <c r="A90" s="332" t="s">
        <v>1602</v>
      </c>
      <c r="B90" s="331">
        <f t="shared" si="24"/>
        <v>36288</v>
      </c>
      <c r="C90" s="331">
        <f t="shared" si="25"/>
        <v>25338</v>
      </c>
      <c r="D90" s="331">
        <v>13500</v>
      </c>
      <c r="E90" s="331">
        <v>1240</v>
      </c>
      <c r="F90" s="331"/>
      <c r="G90" s="331">
        <v>1200</v>
      </c>
      <c r="H90" s="331">
        <v>1800</v>
      </c>
      <c r="I90" s="331">
        <v>1200</v>
      </c>
      <c r="J90" s="331">
        <v>500</v>
      </c>
      <c r="K90" s="331">
        <v>900</v>
      </c>
      <c r="L90" s="331">
        <v>1611</v>
      </c>
      <c r="M90" s="331">
        <v>200</v>
      </c>
      <c r="N90" s="331">
        <v>600</v>
      </c>
      <c r="O90" s="331">
        <v>1200</v>
      </c>
      <c r="P90" s="331">
        <v>1387</v>
      </c>
      <c r="Q90" s="331">
        <v>0</v>
      </c>
      <c r="R90" s="331">
        <v>0</v>
      </c>
      <c r="S90" s="331">
        <v>0</v>
      </c>
      <c r="T90" s="331">
        <f t="shared" si="21"/>
        <v>10950</v>
      </c>
      <c r="U90" s="331">
        <v>1500</v>
      </c>
      <c r="V90" s="331">
        <v>2000</v>
      </c>
      <c r="W90" s="331">
        <v>1500</v>
      </c>
      <c r="X90" s="331"/>
      <c r="Y90" s="331">
        <v>5000</v>
      </c>
      <c r="Z90" s="331">
        <v>250</v>
      </c>
      <c r="AA90" s="331">
        <v>300</v>
      </c>
      <c r="AB90" s="331">
        <v>400</v>
      </c>
    </row>
    <row r="91" spans="1:28" s="132" customFormat="1" ht="12">
      <c r="A91" s="332" t="s">
        <v>1728</v>
      </c>
      <c r="B91" s="331">
        <f t="shared" si="24"/>
        <v>82906</v>
      </c>
      <c r="C91" s="331">
        <f t="shared" si="25"/>
        <v>60858</v>
      </c>
      <c r="D91" s="331">
        <v>15136</v>
      </c>
      <c r="E91" s="331">
        <v>6911</v>
      </c>
      <c r="F91" s="331"/>
      <c r="G91" s="331">
        <v>1530</v>
      </c>
      <c r="H91" s="331">
        <v>26803</v>
      </c>
      <c r="I91" s="331">
        <v>2323</v>
      </c>
      <c r="J91" s="331">
        <v>2074</v>
      </c>
      <c r="K91" s="331">
        <v>672</v>
      </c>
      <c r="L91" s="331">
        <v>2443</v>
      </c>
      <c r="M91" s="331">
        <v>1281</v>
      </c>
      <c r="N91" s="331">
        <v>307</v>
      </c>
      <c r="O91" s="331">
        <v>875</v>
      </c>
      <c r="P91" s="331">
        <v>502</v>
      </c>
      <c r="Q91" s="331"/>
      <c r="R91" s="331"/>
      <c r="S91" s="331">
        <v>1</v>
      </c>
      <c r="T91" s="331">
        <f t="shared" si="21"/>
        <v>22048</v>
      </c>
      <c r="U91" s="331">
        <v>3634</v>
      </c>
      <c r="V91" s="331">
        <v>3567</v>
      </c>
      <c r="W91" s="331">
        <v>1557</v>
      </c>
      <c r="X91" s="331">
        <v>277</v>
      </c>
      <c r="Y91" s="331">
        <v>12336</v>
      </c>
      <c r="Z91" s="331">
        <v>29</v>
      </c>
      <c r="AA91" s="331">
        <v>159</v>
      </c>
      <c r="AB91" s="331">
        <v>489</v>
      </c>
    </row>
    <row r="92" spans="1:28" s="132" customFormat="1" ht="12">
      <c r="A92" s="332" t="s">
        <v>1603</v>
      </c>
      <c r="B92" s="331">
        <f t="shared" si="24"/>
        <v>38404</v>
      </c>
      <c r="C92" s="331">
        <f t="shared" si="25"/>
        <v>24117</v>
      </c>
      <c r="D92" s="331">
        <v>12500</v>
      </c>
      <c r="E92" s="331">
        <v>2800</v>
      </c>
      <c r="F92" s="331"/>
      <c r="G92" s="331">
        <v>700</v>
      </c>
      <c r="H92" s="331">
        <v>610</v>
      </c>
      <c r="I92" s="331">
        <v>1656</v>
      </c>
      <c r="J92" s="331">
        <v>716</v>
      </c>
      <c r="K92" s="331">
        <v>366</v>
      </c>
      <c r="L92" s="331">
        <v>750</v>
      </c>
      <c r="M92" s="331">
        <v>346</v>
      </c>
      <c r="N92" s="331">
        <v>1550</v>
      </c>
      <c r="O92" s="331">
        <v>360</v>
      </c>
      <c r="P92" s="331">
        <v>1763</v>
      </c>
      <c r="Q92" s="331"/>
      <c r="R92" s="331"/>
      <c r="S92" s="331"/>
      <c r="T92" s="331">
        <f t="shared" si="21"/>
        <v>14287</v>
      </c>
      <c r="U92" s="331">
        <v>1357</v>
      </c>
      <c r="V92" s="331">
        <v>802</v>
      </c>
      <c r="W92" s="331">
        <v>3431</v>
      </c>
      <c r="X92" s="331"/>
      <c r="Y92" s="331">
        <v>5662</v>
      </c>
      <c r="Z92" s="331">
        <v>13</v>
      </c>
      <c r="AA92" s="331">
        <v>1234</v>
      </c>
      <c r="AB92" s="331">
        <v>1788</v>
      </c>
    </row>
    <row r="93" spans="1:28" s="132" customFormat="1" ht="12">
      <c r="A93" s="332" t="s">
        <v>1729</v>
      </c>
      <c r="B93" s="331">
        <f t="shared" si="24"/>
        <v>83734</v>
      </c>
      <c r="C93" s="331">
        <f t="shared" si="25"/>
        <v>45785</v>
      </c>
      <c r="D93" s="331">
        <v>23488</v>
      </c>
      <c r="E93" s="331">
        <v>4580</v>
      </c>
      <c r="F93" s="331">
        <v>0</v>
      </c>
      <c r="G93" s="331">
        <v>796</v>
      </c>
      <c r="H93" s="331">
        <v>5433</v>
      </c>
      <c r="I93" s="331">
        <v>1950</v>
      </c>
      <c r="J93" s="331">
        <v>2939</v>
      </c>
      <c r="K93" s="331">
        <v>890</v>
      </c>
      <c r="L93" s="331">
        <v>1780</v>
      </c>
      <c r="M93" s="331">
        <v>540</v>
      </c>
      <c r="N93" s="331">
        <v>1426</v>
      </c>
      <c r="O93" s="331">
        <v>1200</v>
      </c>
      <c r="P93" s="331">
        <v>763</v>
      </c>
      <c r="Q93" s="331">
        <v>0</v>
      </c>
      <c r="R93" s="331">
        <v>0</v>
      </c>
      <c r="S93" s="331">
        <v>0</v>
      </c>
      <c r="T93" s="331">
        <f t="shared" si="21"/>
        <v>37949</v>
      </c>
      <c r="U93" s="331">
        <v>94</v>
      </c>
      <c r="V93" s="331">
        <v>1191</v>
      </c>
      <c r="W93" s="331">
        <v>2715</v>
      </c>
      <c r="X93" s="331">
        <v>0</v>
      </c>
      <c r="Y93" s="331">
        <v>33289</v>
      </c>
      <c r="Z93" s="331">
        <v>0</v>
      </c>
      <c r="AA93" s="331">
        <v>660</v>
      </c>
      <c r="AB93" s="331"/>
    </row>
    <row r="94" spans="1:28" s="132" customFormat="1" ht="12">
      <c r="A94" s="333" t="s">
        <v>1604</v>
      </c>
      <c r="B94" s="331">
        <f t="shared" si="24"/>
        <v>20940</v>
      </c>
      <c r="C94" s="331">
        <f t="shared" si="25"/>
        <v>13610</v>
      </c>
      <c r="D94" s="331">
        <v>6650</v>
      </c>
      <c r="E94" s="331">
        <v>1142</v>
      </c>
      <c r="F94" s="331"/>
      <c r="G94" s="331">
        <v>350</v>
      </c>
      <c r="H94" s="331">
        <v>900</v>
      </c>
      <c r="I94" s="331">
        <v>651</v>
      </c>
      <c r="J94" s="331">
        <v>350</v>
      </c>
      <c r="K94" s="331">
        <v>172</v>
      </c>
      <c r="L94" s="331">
        <v>795</v>
      </c>
      <c r="M94" s="331">
        <v>610</v>
      </c>
      <c r="N94" s="331">
        <v>540</v>
      </c>
      <c r="O94" s="331">
        <v>1100</v>
      </c>
      <c r="P94" s="331">
        <v>350</v>
      </c>
      <c r="Q94" s="331"/>
      <c r="R94" s="331"/>
      <c r="S94" s="331"/>
      <c r="T94" s="331">
        <f t="shared" si="21"/>
        <v>7330</v>
      </c>
      <c r="U94" s="331">
        <v>700</v>
      </c>
      <c r="V94" s="331">
        <v>545</v>
      </c>
      <c r="W94" s="331">
        <v>2275</v>
      </c>
      <c r="X94" s="331"/>
      <c r="Y94" s="331">
        <v>3510</v>
      </c>
      <c r="Z94" s="331"/>
      <c r="AA94" s="331">
        <v>300</v>
      </c>
      <c r="AB94" s="331"/>
    </row>
    <row r="95" spans="1:28" s="132" customFormat="1" ht="12">
      <c r="A95" s="332" t="s">
        <v>1730</v>
      </c>
      <c r="B95" s="331">
        <f t="shared" si="24"/>
        <v>20300</v>
      </c>
      <c r="C95" s="331">
        <f t="shared" si="25"/>
        <v>11000</v>
      </c>
      <c r="D95" s="331">
        <v>5200</v>
      </c>
      <c r="E95" s="331">
        <v>650</v>
      </c>
      <c r="F95" s="331"/>
      <c r="G95" s="331">
        <v>300</v>
      </c>
      <c r="H95" s="331">
        <v>201</v>
      </c>
      <c r="I95" s="331">
        <v>779</v>
      </c>
      <c r="J95" s="331">
        <v>400</v>
      </c>
      <c r="K95" s="331">
        <v>100</v>
      </c>
      <c r="L95" s="331">
        <v>450</v>
      </c>
      <c r="M95" s="331">
        <v>800</v>
      </c>
      <c r="N95" s="331">
        <v>220</v>
      </c>
      <c r="O95" s="331">
        <v>1600</v>
      </c>
      <c r="P95" s="331">
        <v>300</v>
      </c>
      <c r="Q95" s="331"/>
      <c r="R95" s="331"/>
      <c r="S95" s="331"/>
      <c r="T95" s="331">
        <f t="shared" si="21"/>
        <v>9300</v>
      </c>
      <c r="U95" s="331">
        <v>330</v>
      </c>
      <c r="V95" s="331">
        <v>2012</v>
      </c>
      <c r="W95" s="331">
        <v>379</v>
      </c>
      <c r="X95" s="331"/>
      <c r="Y95" s="331">
        <v>5837</v>
      </c>
      <c r="Z95" s="331">
        <v>10</v>
      </c>
      <c r="AA95" s="331">
        <v>500</v>
      </c>
      <c r="AB95" s="331">
        <v>232</v>
      </c>
    </row>
    <row r="96" spans="1:28" s="143" customFormat="1" ht="12">
      <c r="A96" s="341" t="s">
        <v>1731</v>
      </c>
      <c r="B96" s="329">
        <f t="shared" ref="B96:B108" si="26">SUM(C96,T96)</f>
        <v>1288800</v>
      </c>
      <c r="C96" s="326">
        <f t="shared" ref="C96:C108" si="27">SUM(D96:S96)</f>
        <v>918389</v>
      </c>
      <c r="D96" s="326">
        <f t="shared" ref="D96:AB96" si="28">SUM(D97,D98)</f>
        <v>388545</v>
      </c>
      <c r="E96" s="326">
        <f t="shared" si="28"/>
        <v>105773</v>
      </c>
      <c r="F96" s="326">
        <f t="shared" si="28"/>
        <v>0</v>
      </c>
      <c r="G96" s="326">
        <f t="shared" si="28"/>
        <v>23009</v>
      </c>
      <c r="H96" s="326">
        <f t="shared" si="28"/>
        <v>101691</v>
      </c>
      <c r="I96" s="326">
        <f t="shared" si="28"/>
        <v>58267</v>
      </c>
      <c r="J96" s="326">
        <f t="shared" si="28"/>
        <v>27333</v>
      </c>
      <c r="K96" s="326">
        <f t="shared" si="28"/>
        <v>15313</v>
      </c>
      <c r="L96" s="326">
        <f t="shared" si="28"/>
        <v>38078</v>
      </c>
      <c r="M96" s="326">
        <f t="shared" si="28"/>
        <v>30422</v>
      </c>
      <c r="N96" s="326">
        <f t="shared" si="28"/>
        <v>18115</v>
      </c>
      <c r="O96" s="326">
        <f t="shared" si="28"/>
        <v>60692</v>
      </c>
      <c r="P96" s="326">
        <f t="shared" si="28"/>
        <v>46151</v>
      </c>
      <c r="Q96" s="326">
        <f t="shared" si="28"/>
        <v>0</v>
      </c>
      <c r="R96" s="326">
        <f t="shared" si="28"/>
        <v>5000</v>
      </c>
      <c r="S96" s="326">
        <f t="shared" si="28"/>
        <v>0</v>
      </c>
      <c r="T96" s="326">
        <f t="shared" si="28"/>
        <v>370411</v>
      </c>
      <c r="U96" s="326">
        <f t="shared" si="28"/>
        <v>36541</v>
      </c>
      <c r="V96" s="326">
        <f t="shared" si="28"/>
        <v>36826</v>
      </c>
      <c r="W96" s="326">
        <f t="shared" si="28"/>
        <v>36154</v>
      </c>
      <c r="X96" s="326">
        <f t="shared" si="28"/>
        <v>15680</v>
      </c>
      <c r="Y96" s="326">
        <f t="shared" si="28"/>
        <v>227283</v>
      </c>
      <c r="Z96" s="326">
        <f t="shared" si="28"/>
        <v>2788</v>
      </c>
      <c r="AA96" s="326">
        <f t="shared" si="28"/>
        <v>15139</v>
      </c>
      <c r="AB96" s="326">
        <f t="shared" si="28"/>
        <v>0</v>
      </c>
    </row>
    <row r="97" spans="1:28" s="143" customFormat="1" ht="12">
      <c r="A97" s="342" t="s">
        <v>1193</v>
      </c>
      <c r="B97" s="329">
        <f t="shared" si="26"/>
        <v>49830</v>
      </c>
      <c r="C97" s="343">
        <f t="shared" si="27"/>
        <v>5700</v>
      </c>
      <c r="D97" s="343"/>
      <c r="E97" s="343">
        <v>700</v>
      </c>
      <c r="F97" s="343"/>
      <c r="G97" s="343"/>
      <c r="H97" s="343"/>
      <c r="I97" s="343"/>
      <c r="J97" s="343"/>
      <c r="K97" s="343"/>
      <c r="L97" s="343"/>
      <c r="M97" s="343"/>
      <c r="N97" s="343"/>
      <c r="O97" s="343"/>
      <c r="P97" s="343"/>
      <c r="Q97" s="343"/>
      <c r="R97" s="343">
        <v>5000</v>
      </c>
      <c r="S97" s="343"/>
      <c r="T97" s="343">
        <f t="shared" ref="T97:T108" si="29">SUM(U97:AB97)</f>
        <v>44130</v>
      </c>
      <c r="U97" s="343">
        <v>8830</v>
      </c>
      <c r="V97" s="343">
        <v>3800</v>
      </c>
      <c r="W97" s="343">
        <v>3500</v>
      </c>
      <c r="X97" s="343"/>
      <c r="Y97" s="343">
        <v>18000</v>
      </c>
      <c r="Z97" s="343"/>
      <c r="AA97" s="343">
        <v>10000</v>
      </c>
      <c r="AB97" s="343"/>
    </row>
    <row r="98" spans="1:28" s="143" customFormat="1" ht="12">
      <c r="A98" s="342" t="s">
        <v>1194</v>
      </c>
      <c r="B98" s="329">
        <f t="shared" ref="B98:AB98" si="30">SUM(B99:B108)</f>
        <v>1238970</v>
      </c>
      <c r="C98" s="326">
        <f t="shared" si="27"/>
        <v>912689</v>
      </c>
      <c r="D98" s="326">
        <f t="shared" si="30"/>
        <v>388545</v>
      </c>
      <c r="E98" s="326">
        <f t="shared" si="30"/>
        <v>105073</v>
      </c>
      <c r="F98" s="326">
        <f t="shared" si="30"/>
        <v>0</v>
      </c>
      <c r="G98" s="326">
        <f t="shared" si="30"/>
        <v>23009</v>
      </c>
      <c r="H98" s="326">
        <f t="shared" si="30"/>
        <v>101691</v>
      </c>
      <c r="I98" s="326">
        <f t="shared" si="30"/>
        <v>58267</v>
      </c>
      <c r="J98" s="326">
        <f t="shared" si="30"/>
        <v>27333</v>
      </c>
      <c r="K98" s="326">
        <f t="shared" si="30"/>
        <v>15313</v>
      </c>
      <c r="L98" s="326">
        <f t="shared" si="30"/>
        <v>38078</v>
      </c>
      <c r="M98" s="326">
        <f t="shared" si="30"/>
        <v>30422</v>
      </c>
      <c r="N98" s="326">
        <f t="shared" si="30"/>
        <v>18115</v>
      </c>
      <c r="O98" s="326">
        <f t="shared" si="30"/>
        <v>60692</v>
      </c>
      <c r="P98" s="326">
        <f t="shared" si="30"/>
        <v>46151</v>
      </c>
      <c r="Q98" s="326">
        <f t="shared" si="30"/>
        <v>0</v>
      </c>
      <c r="R98" s="326">
        <f t="shared" si="30"/>
        <v>0</v>
      </c>
      <c r="S98" s="326">
        <f t="shared" si="30"/>
        <v>0</v>
      </c>
      <c r="T98" s="326">
        <f t="shared" si="30"/>
        <v>326281</v>
      </c>
      <c r="U98" s="326">
        <f t="shared" si="30"/>
        <v>27711</v>
      </c>
      <c r="V98" s="326">
        <f t="shared" si="30"/>
        <v>33026</v>
      </c>
      <c r="W98" s="326">
        <f t="shared" si="30"/>
        <v>32654</v>
      </c>
      <c r="X98" s="326">
        <f t="shared" si="30"/>
        <v>15680</v>
      </c>
      <c r="Y98" s="326">
        <f t="shared" si="30"/>
        <v>209283</v>
      </c>
      <c r="Z98" s="326">
        <f t="shared" si="30"/>
        <v>2788</v>
      </c>
      <c r="AA98" s="326">
        <f t="shared" si="30"/>
        <v>5139</v>
      </c>
      <c r="AB98" s="326">
        <f t="shared" si="30"/>
        <v>0</v>
      </c>
    </row>
    <row r="99" spans="1:28" s="134" customFormat="1" ht="12">
      <c r="A99" s="332" t="s">
        <v>1605</v>
      </c>
      <c r="B99" s="329">
        <f t="shared" si="26"/>
        <v>25200</v>
      </c>
      <c r="C99" s="343">
        <f t="shared" si="27"/>
        <v>19613</v>
      </c>
      <c r="D99" s="343">
        <v>3210</v>
      </c>
      <c r="E99" s="343">
        <v>2977</v>
      </c>
      <c r="F99" s="343"/>
      <c r="G99" s="343">
        <v>323</v>
      </c>
      <c r="H99" s="343">
        <v>600</v>
      </c>
      <c r="I99" s="343">
        <v>431</v>
      </c>
      <c r="J99" s="343">
        <v>2012</v>
      </c>
      <c r="K99" s="343">
        <v>915</v>
      </c>
      <c r="L99" s="343">
        <v>3533</v>
      </c>
      <c r="M99" s="343">
        <v>195</v>
      </c>
      <c r="N99" s="343">
        <v>1</v>
      </c>
      <c r="O99" s="343">
        <v>3391</v>
      </c>
      <c r="P99" s="343">
        <v>2025</v>
      </c>
      <c r="Q99" s="343"/>
      <c r="R99" s="343"/>
      <c r="S99" s="343"/>
      <c r="T99" s="343">
        <f t="shared" si="29"/>
        <v>5587</v>
      </c>
      <c r="U99" s="343">
        <v>355</v>
      </c>
      <c r="V99" s="343"/>
      <c r="W99" s="343">
        <v>3</v>
      </c>
      <c r="X99" s="343"/>
      <c r="Y99" s="343">
        <v>4919</v>
      </c>
      <c r="Z99" s="343"/>
      <c r="AA99" s="343">
        <v>310</v>
      </c>
      <c r="AB99" s="343"/>
    </row>
    <row r="100" spans="1:28" s="134" customFormat="1" ht="12">
      <c r="A100" s="332" t="s">
        <v>1606</v>
      </c>
      <c r="B100" s="326">
        <f t="shared" si="26"/>
        <v>236300</v>
      </c>
      <c r="C100" s="343">
        <f t="shared" si="27"/>
        <v>178600</v>
      </c>
      <c r="D100" s="343">
        <v>63000</v>
      </c>
      <c r="E100" s="343">
        <v>21100</v>
      </c>
      <c r="F100" s="343"/>
      <c r="G100" s="343">
        <v>9600</v>
      </c>
      <c r="H100" s="344"/>
      <c r="I100" s="343">
        <v>11000</v>
      </c>
      <c r="J100" s="343">
        <v>8300</v>
      </c>
      <c r="K100" s="343">
        <v>5300</v>
      </c>
      <c r="L100" s="343">
        <v>10800</v>
      </c>
      <c r="M100" s="343">
        <v>11100</v>
      </c>
      <c r="N100" s="343">
        <v>8400</v>
      </c>
      <c r="O100" s="343">
        <v>8000</v>
      </c>
      <c r="P100" s="343">
        <v>22000</v>
      </c>
      <c r="Q100" s="343"/>
      <c r="R100" s="343"/>
      <c r="S100" s="343"/>
      <c r="T100" s="343">
        <f t="shared" si="29"/>
        <v>57700</v>
      </c>
      <c r="U100" s="343">
        <v>8200</v>
      </c>
      <c r="V100" s="343">
        <v>6600</v>
      </c>
      <c r="W100" s="343">
        <v>9400</v>
      </c>
      <c r="X100" s="343"/>
      <c r="Y100" s="343">
        <v>32000</v>
      </c>
      <c r="Z100" s="343">
        <v>600</v>
      </c>
      <c r="AA100" s="343">
        <v>900</v>
      </c>
      <c r="AB100" s="343"/>
    </row>
    <row r="101" spans="1:28" s="134" customFormat="1" ht="12">
      <c r="A101" s="332" t="s">
        <v>1607</v>
      </c>
      <c r="B101" s="326">
        <f t="shared" si="26"/>
        <v>443000</v>
      </c>
      <c r="C101" s="343">
        <f t="shared" si="27"/>
        <v>291454</v>
      </c>
      <c r="D101" s="343">
        <v>136583</v>
      </c>
      <c r="E101" s="343">
        <v>36033</v>
      </c>
      <c r="F101" s="343">
        <v>0</v>
      </c>
      <c r="G101" s="343">
        <v>4756</v>
      </c>
      <c r="H101" s="343">
        <v>34754</v>
      </c>
      <c r="I101" s="343">
        <v>26904</v>
      </c>
      <c r="J101" s="343">
        <v>6078</v>
      </c>
      <c r="K101" s="343">
        <v>2860</v>
      </c>
      <c r="L101" s="343">
        <v>10970</v>
      </c>
      <c r="M101" s="343">
        <v>9768</v>
      </c>
      <c r="N101" s="343">
        <v>2867</v>
      </c>
      <c r="O101" s="343">
        <v>8818</v>
      </c>
      <c r="P101" s="343">
        <v>11063</v>
      </c>
      <c r="Q101" s="343"/>
      <c r="R101" s="343"/>
      <c r="S101" s="343"/>
      <c r="T101" s="343">
        <f t="shared" si="29"/>
        <v>151546</v>
      </c>
      <c r="U101" s="343">
        <v>2425</v>
      </c>
      <c r="V101" s="343">
        <v>6425</v>
      </c>
      <c r="W101" s="343">
        <v>5151</v>
      </c>
      <c r="X101" s="343"/>
      <c r="Y101" s="343">
        <v>136008</v>
      </c>
      <c r="Z101" s="343">
        <v>1537</v>
      </c>
      <c r="AA101" s="343"/>
      <c r="AB101" s="337"/>
    </row>
    <row r="102" spans="1:28" s="134" customFormat="1" ht="12">
      <c r="A102" s="332" t="s">
        <v>1608</v>
      </c>
      <c r="B102" s="326">
        <f t="shared" si="26"/>
        <v>183200</v>
      </c>
      <c r="C102" s="343">
        <f t="shared" si="27"/>
        <v>146100</v>
      </c>
      <c r="D102" s="343">
        <v>58000</v>
      </c>
      <c r="E102" s="343">
        <v>11700</v>
      </c>
      <c r="F102" s="343"/>
      <c r="G102" s="343">
        <v>1700</v>
      </c>
      <c r="H102" s="343">
        <v>36700</v>
      </c>
      <c r="I102" s="343">
        <v>6400</v>
      </c>
      <c r="J102" s="343">
        <v>6000</v>
      </c>
      <c r="K102" s="343">
        <v>2000</v>
      </c>
      <c r="L102" s="343">
        <v>5300</v>
      </c>
      <c r="M102" s="343">
        <v>1200</v>
      </c>
      <c r="N102" s="343">
        <v>1000</v>
      </c>
      <c r="O102" s="343">
        <v>13800</v>
      </c>
      <c r="P102" s="343">
        <v>2300</v>
      </c>
      <c r="Q102" s="343"/>
      <c r="R102" s="343"/>
      <c r="S102" s="343"/>
      <c r="T102" s="343">
        <f t="shared" si="29"/>
        <v>37100</v>
      </c>
      <c r="U102" s="343">
        <v>6500</v>
      </c>
      <c r="V102" s="343">
        <v>5000</v>
      </c>
      <c r="W102" s="343">
        <v>2700</v>
      </c>
      <c r="X102" s="343">
        <v>7000</v>
      </c>
      <c r="Y102" s="343">
        <v>15000</v>
      </c>
      <c r="Z102" s="343"/>
      <c r="AA102" s="343">
        <v>900</v>
      </c>
      <c r="AB102" s="343"/>
    </row>
    <row r="103" spans="1:28" s="134" customFormat="1" ht="12">
      <c r="A103" s="332" t="s">
        <v>1609</v>
      </c>
      <c r="B103" s="326">
        <f t="shared" si="26"/>
        <v>59050</v>
      </c>
      <c r="C103" s="343">
        <f t="shared" si="27"/>
        <v>35412</v>
      </c>
      <c r="D103" s="343">
        <v>16940</v>
      </c>
      <c r="E103" s="343">
        <v>2290</v>
      </c>
      <c r="F103" s="343"/>
      <c r="G103" s="343">
        <v>690</v>
      </c>
      <c r="H103" s="343">
        <v>5102</v>
      </c>
      <c r="I103" s="343">
        <v>1902</v>
      </c>
      <c r="J103" s="343">
        <v>673</v>
      </c>
      <c r="K103" s="343">
        <v>608</v>
      </c>
      <c r="L103" s="343">
        <v>1170</v>
      </c>
      <c r="M103" s="343">
        <v>2199</v>
      </c>
      <c r="N103" s="343">
        <v>942</v>
      </c>
      <c r="O103" s="343">
        <v>483</v>
      </c>
      <c r="P103" s="343">
        <v>2413</v>
      </c>
      <c r="Q103" s="343"/>
      <c r="R103" s="343"/>
      <c r="S103" s="343"/>
      <c r="T103" s="343">
        <f t="shared" si="29"/>
        <v>23638</v>
      </c>
      <c r="U103" s="343">
        <v>1271</v>
      </c>
      <c r="V103" s="343">
        <v>3501</v>
      </c>
      <c r="W103" s="343">
        <v>1050</v>
      </c>
      <c r="X103" s="343">
        <v>8680</v>
      </c>
      <c r="Y103" s="343">
        <v>7556</v>
      </c>
      <c r="Z103" s="343">
        <v>651</v>
      </c>
      <c r="AA103" s="343">
        <v>929</v>
      </c>
      <c r="AB103" s="343"/>
    </row>
    <row r="104" spans="1:28" s="134" customFormat="1" ht="12">
      <c r="A104" s="332" t="s">
        <v>1610</v>
      </c>
      <c r="B104" s="326">
        <f t="shared" si="26"/>
        <v>166800</v>
      </c>
      <c r="C104" s="343">
        <f t="shared" si="27"/>
        <v>148500</v>
      </c>
      <c r="D104" s="343">
        <v>70000</v>
      </c>
      <c r="E104" s="343">
        <v>20000</v>
      </c>
      <c r="F104" s="343"/>
      <c r="G104" s="343">
        <v>2000</v>
      </c>
      <c r="H104" s="343">
        <v>22000</v>
      </c>
      <c r="I104" s="343">
        <v>8000</v>
      </c>
      <c r="J104" s="343">
        <v>1600</v>
      </c>
      <c r="K104" s="343">
        <v>1200</v>
      </c>
      <c r="L104" s="343">
        <v>1500</v>
      </c>
      <c r="M104" s="343">
        <v>2200</v>
      </c>
      <c r="N104" s="343">
        <v>1200</v>
      </c>
      <c r="O104" s="343">
        <v>16800</v>
      </c>
      <c r="P104" s="343">
        <v>2000</v>
      </c>
      <c r="Q104" s="343"/>
      <c r="R104" s="343"/>
      <c r="S104" s="343"/>
      <c r="T104" s="343">
        <f t="shared" si="29"/>
        <v>18300</v>
      </c>
      <c r="U104" s="343">
        <v>5300</v>
      </c>
      <c r="V104" s="343">
        <v>2500</v>
      </c>
      <c r="W104" s="343">
        <v>3500</v>
      </c>
      <c r="X104" s="343"/>
      <c r="Y104" s="343">
        <v>6000</v>
      </c>
      <c r="Z104" s="343"/>
      <c r="AA104" s="343">
        <v>1000</v>
      </c>
      <c r="AB104" s="343"/>
    </row>
    <row r="105" spans="1:28" s="134" customFormat="1" ht="12">
      <c r="A105" s="332" t="s">
        <v>1611</v>
      </c>
      <c r="B105" s="326">
        <f t="shared" si="26"/>
        <v>57700</v>
      </c>
      <c r="C105" s="343">
        <f t="shared" si="27"/>
        <v>48300</v>
      </c>
      <c r="D105" s="343">
        <v>20000</v>
      </c>
      <c r="E105" s="343">
        <v>6000</v>
      </c>
      <c r="F105" s="343"/>
      <c r="G105" s="343">
        <v>1600</v>
      </c>
      <c r="H105" s="343">
        <v>2500</v>
      </c>
      <c r="I105" s="343">
        <v>2000</v>
      </c>
      <c r="J105" s="343">
        <v>1350</v>
      </c>
      <c r="K105" s="343">
        <v>1000</v>
      </c>
      <c r="L105" s="343">
        <v>2500</v>
      </c>
      <c r="M105" s="343">
        <v>2000</v>
      </c>
      <c r="N105" s="343">
        <v>1350</v>
      </c>
      <c r="O105" s="343">
        <v>6000</v>
      </c>
      <c r="P105" s="343">
        <v>2000</v>
      </c>
      <c r="Q105" s="343"/>
      <c r="R105" s="343"/>
      <c r="S105" s="343"/>
      <c r="T105" s="343">
        <f t="shared" si="29"/>
        <v>9400</v>
      </c>
      <c r="U105" s="343">
        <v>1950</v>
      </c>
      <c r="V105" s="343">
        <v>2200</v>
      </c>
      <c r="W105" s="343">
        <v>3250</v>
      </c>
      <c r="X105" s="343">
        <v>0</v>
      </c>
      <c r="Y105" s="343">
        <v>2000</v>
      </c>
      <c r="Z105" s="343"/>
      <c r="AA105" s="343"/>
      <c r="AB105" s="343"/>
    </row>
    <row r="106" spans="1:28" s="134" customFormat="1" ht="12">
      <c r="A106" s="332" t="s">
        <v>1612</v>
      </c>
      <c r="B106" s="326">
        <f t="shared" si="26"/>
        <v>25300</v>
      </c>
      <c r="C106" s="343">
        <f t="shared" si="27"/>
        <v>17300</v>
      </c>
      <c r="D106" s="343">
        <v>7800</v>
      </c>
      <c r="E106" s="343">
        <v>2020</v>
      </c>
      <c r="F106" s="343"/>
      <c r="G106" s="343">
        <v>700</v>
      </c>
      <c r="H106" s="343">
        <v>10</v>
      </c>
      <c r="I106" s="343">
        <v>600</v>
      </c>
      <c r="J106" s="343">
        <v>270</v>
      </c>
      <c r="K106" s="343">
        <v>500</v>
      </c>
      <c r="L106" s="343">
        <v>700</v>
      </c>
      <c r="M106" s="343">
        <v>800</v>
      </c>
      <c r="N106" s="343">
        <v>500</v>
      </c>
      <c r="O106" s="343">
        <v>2400</v>
      </c>
      <c r="P106" s="343">
        <v>1000</v>
      </c>
      <c r="Q106" s="343"/>
      <c r="R106" s="343"/>
      <c r="S106" s="343"/>
      <c r="T106" s="343">
        <f t="shared" si="29"/>
        <v>8000</v>
      </c>
      <c r="U106" s="343">
        <v>700</v>
      </c>
      <c r="V106" s="343">
        <v>2100</v>
      </c>
      <c r="W106" s="343">
        <v>2000</v>
      </c>
      <c r="X106" s="343"/>
      <c r="Y106" s="343">
        <v>2800</v>
      </c>
      <c r="Z106" s="343"/>
      <c r="AA106" s="343">
        <v>400</v>
      </c>
      <c r="AB106" s="343"/>
    </row>
    <row r="107" spans="1:28" s="134" customFormat="1" ht="12">
      <c r="A107" s="332" t="s">
        <v>1613</v>
      </c>
      <c r="B107" s="326">
        <f t="shared" si="26"/>
        <v>33420</v>
      </c>
      <c r="C107" s="343">
        <f t="shared" si="27"/>
        <v>21400</v>
      </c>
      <c r="D107" s="343">
        <v>9500</v>
      </c>
      <c r="E107" s="343">
        <v>2700</v>
      </c>
      <c r="F107" s="343"/>
      <c r="G107" s="343">
        <v>1500</v>
      </c>
      <c r="H107" s="343">
        <v>5</v>
      </c>
      <c r="I107" s="343">
        <v>850</v>
      </c>
      <c r="J107" s="343">
        <v>800</v>
      </c>
      <c r="K107" s="343">
        <v>800</v>
      </c>
      <c r="L107" s="343">
        <v>775</v>
      </c>
      <c r="M107" s="343">
        <v>670</v>
      </c>
      <c r="N107" s="343">
        <v>1600</v>
      </c>
      <c r="O107" s="343">
        <v>1000</v>
      </c>
      <c r="P107" s="343">
        <v>1200</v>
      </c>
      <c r="Q107" s="343"/>
      <c r="R107" s="343"/>
      <c r="S107" s="343"/>
      <c r="T107" s="343">
        <f t="shared" si="29"/>
        <v>12020</v>
      </c>
      <c r="U107" s="343">
        <v>820</v>
      </c>
      <c r="V107" s="343">
        <v>4000</v>
      </c>
      <c r="W107" s="343">
        <v>4500</v>
      </c>
      <c r="X107" s="343"/>
      <c r="Y107" s="343">
        <v>2000</v>
      </c>
      <c r="Z107" s="343"/>
      <c r="AA107" s="343">
        <v>700</v>
      </c>
      <c r="AB107" s="343"/>
    </row>
    <row r="108" spans="1:28" s="134" customFormat="1" ht="12">
      <c r="A108" s="332" t="s">
        <v>1614</v>
      </c>
      <c r="B108" s="326">
        <f t="shared" si="26"/>
        <v>9000</v>
      </c>
      <c r="C108" s="343">
        <f t="shared" si="27"/>
        <v>6010</v>
      </c>
      <c r="D108" s="343">
        <v>3512</v>
      </c>
      <c r="E108" s="343">
        <v>253</v>
      </c>
      <c r="F108" s="343"/>
      <c r="G108" s="343">
        <v>140</v>
      </c>
      <c r="H108" s="343">
        <v>20</v>
      </c>
      <c r="I108" s="343">
        <v>180</v>
      </c>
      <c r="J108" s="343">
        <v>250</v>
      </c>
      <c r="K108" s="343">
        <v>130</v>
      </c>
      <c r="L108" s="343">
        <v>830</v>
      </c>
      <c r="M108" s="343">
        <v>290</v>
      </c>
      <c r="N108" s="343">
        <v>255</v>
      </c>
      <c r="O108" s="343"/>
      <c r="P108" s="343">
        <v>150</v>
      </c>
      <c r="Q108" s="343"/>
      <c r="R108" s="343"/>
      <c r="S108" s="343"/>
      <c r="T108" s="343">
        <f t="shared" si="29"/>
        <v>2990</v>
      </c>
      <c r="U108" s="343">
        <v>190</v>
      </c>
      <c r="V108" s="343">
        <v>700</v>
      </c>
      <c r="W108" s="343">
        <v>1100</v>
      </c>
      <c r="X108" s="343"/>
      <c r="Y108" s="343">
        <v>1000</v>
      </c>
      <c r="Z108" s="343"/>
      <c r="AA108" s="343"/>
      <c r="AB108" s="339"/>
    </row>
    <row r="109" spans="1:28" ht="15.95" customHeight="1">
      <c r="A109" s="330" t="s">
        <v>1615</v>
      </c>
      <c r="B109" s="345">
        <f>B110+B111</f>
        <v>172886</v>
      </c>
      <c r="C109" s="345">
        <f t="shared" ref="C109:AB109" si="31">C110+C111</f>
        <v>118500</v>
      </c>
      <c r="D109" s="345">
        <f t="shared" si="31"/>
        <v>49683</v>
      </c>
      <c r="E109" s="345">
        <f t="shared" si="31"/>
        <v>14465</v>
      </c>
      <c r="F109" s="345">
        <f t="shared" si="31"/>
        <v>0</v>
      </c>
      <c r="G109" s="345">
        <f t="shared" si="31"/>
        <v>4500</v>
      </c>
      <c r="H109" s="345">
        <f t="shared" si="31"/>
        <v>16251</v>
      </c>
      <c r="I109" s="345">
        <f t="shared" si="31"/>
        <v>5489</v>
      </c>
      <c r="J109" s="345">
        <f t="shared" si="31"/>
        <v>3214</v>
      </c>
      <c r="K109" s="345">
        <f t="shared" si="31"/>
        <v>2271</v>
      </c>
      <c r="L109" s="345">
        <f t="shared" si="31"/>
        <v>1761</v>
      </c>
      <c r="M109" s="345">
        <f t="shared" si="31"/>
        <v>1652</v>
      </c>
      <c r="N109" s="345">
        <f t="shared" si="31"/>
        <v>3207</v>
      </c>
      <c r="O109" s="345">
        <f t="shared" si="31"/>
        <v>11665</v>
      </c>
      <c r="P109" s="345">
        <f t="shared" si="31"/>
        <v>3307</v>
      </c>
      <c r="Q109" s="345">
        <f t="shared" si="31"/>
        <v>0</v>
      </c>
      <c r="R109" s="345">
        <f t="shared" si="31"/>
        <v>1035</v>
      </c>
      <c r="S109" s="345">
        <f t="shared" si="31"/>
        <v>0</v>
      </c>
      <c r="T109" s="345">
        <f t="shared" si="31"/>
        <v>54386</v>
      </c>
      <c r="U109" s="345">
        <f t="shared" si="31"/>
        <v>9000</v>
      </c>
      <c r="V109" s="345">
        <f t="shared" si="31"/>
        <v>9300</v>
      </c>
      <c r="W109" s="345">
        <f t="shared" si="31"/>
        <v>10000</v>
      </c>
      <c r="X109" s="345">
        <f t="shared" si="31"/>
        <v>0</v>
      </c>
      <c r="Y109" s="345">
        <f t="shared" si="31"/>
        <v>18596</v>
      </c>
      <c r="Z109" s="345">
        <f t="shared" si="31"/>
        <v>2000</v>
      </c>
      <c r="AA109" s="345">
        <f t="shared" si="31"/>
        <v>5200</v>
      </c>
      <c r="AB109" s="345">
        <f t="shared" si="31"/>
        <v>290</v>
      </c>
    </row>
    <row r="110" spans="1:28" ht="15.95" customHeight="1">
      <c r="A110" s="332" t="s">
        <v>1193</v>
      </c>
      <c r="B110" s="345">
        <f>C110+T110</f>
        <v>10700</v>
      </c>
      <c r="C110" s="345">
        <v>1500</v>
      </c>
      <c r="D110" s="345">
        <v>250</v>
      </c>
      <c r="E110" s="345">
        <v>45</v>
      </c>
      <c r="F110" s="345"/>
      <c r="G110" s="345">
        <v>85</v>
      </c>
      <c r="H110" s="345"/>
      <c r="I110" s="345">
        <v>10</v>
      </c>
      <c r="J110" s="345">
        <v>25</v>
      </c>
      <c r="K110" s="345">
        <v>50</v>
      </c>
      <c r="L110" s="345">
        <v>20</v>
      </c>
      <c r="M110" s="345"/>
      <c r="N110" s="345"/>
      <c r="O110" s="345">
        <v>300</v>
      </c>
      <c r="P110" s="345">
        <v>65</v>
      </c>
      <c r="Q110" s="345"/>
      <c r="R110" s="345">
        <v>650</v>
      </c>
      <c r="S110" s="345"/>
      <c r="T110" s="345">
        <f t="shared" ref="T110:T115" si="32">SUM(U110:AB110)</f>
        <v>9200</v>
      </c>
      <c r="U110" s="345">
        <v>550</v>
      </c>
      <c r="V110" s="345">
        <v>700</v>
      </c>
      <c r="W110" s="345">
        <v>1000</v>
      </c>
      <c r="X110" s="345"/>
      <c r="Y110" s="345">
        <v>1700</v>
      </c>
      <c r="Z110" s="345"/>
      <c r="AA110" s="345">
        <v>5200</v>
      </c>
      <c r="AB110" s="345">
        <v>50</v>
      </c>
    </row>
    <row r="111" spans="1:28" ht="15.95" customHeight="1">
      <c r="A111" s="332" t="s">
        <v>1194</v>
      </c>
      <c r="B111" s="345">
        <f>SUM(B112:B115)</f>
        <v>162186</v>
      </c>
      <c r="C111" s="345">
        <f>SUM(C112:C115)</f>
        <v>117000</v>
      </c>
      <c r="D111" s="345">
        <f>SUM(D112:D115)</f>
        <v>49433</v>
      </c>
      <c r="E111" s="345">
        <f t="shared" ref="E111:AB111" si="33">SUM(E112:E115)</f>
        <v>14420</v>
      </c>
      <c r="F111" s="345">
        <f t="shared" si="33"/>
        <v>0</v>
      </c>
      <c r="G111" s="345">
        <f t="shared" si="33"/>
        <v>4415</v>
      </c>
      <c r="H111" s="345">
        <f t="shared" si="33"/>
        <v>16251</v>
      </c>
      <c r="I111" s="345">
        <f t="shared" si="33"/>
        <v>5479</v>
      </c>
      <c r="J111" s="345">
        <f t="shared" si="33"/>
        <v>3189</v>
      </c>
      <c r="K111" s="345">
        <f t="shared" si="33"/>
        <v>2221</v>
      </c>
      <c r="L111" s="345">
        <f t="shared" si="33"/>
        <v>1741</v>
      </c>
      <c r="M111" s="345">
        <f t="shared" si="33"/>
        <v>1652</v>
      </c>
      <c r="N111" s="345">
        <f t="shared" si="33"/>
        <v>3207</v>
      </c>
      <c r="O111" s="345">
        <f t="shared" si="33"/>
        <v>11365</v>
      </c>
      <c r="P111" s="345">
        <f t="shared" si="33"/>
        <v>3242</v>
      </c>
      <c r="Q111" s="345">
        <f t="shared" si="33"/>
        <v>0</v>
      </c>
      <c r="R111" s="345">
        <f t="shared" si="33"/>
        <v>385</v>
      </c>
      <c r="S111" s="345">
        <f t="shared" si="33"/>
        <v>0</v>
      </c>
      <c r="T111" s="345">
        <f t="shared" si="32"/>
        <v>45186</v>
      </c>
      <c r="U111" s="345">
        <f t="shared" si="33"/>
        <v>8450</v>
      </c>
      <c r="V111" s="345">
        <f t="shared" si="33"/>
        <v>8600</v>
      </c>
      <c r="W111" s="345">
        <f t="shared" si="33"/>
        <v>9000</v>
      </c>
      <c r="X111" s="345">
        <f t="shared" si="33"/>
        <v>0</v>
      </c>
      <c r="Y111" s="345">
        <f t="shared" si="33"/>
        <v>16896</v>
      </c>
      <c r="Z111" s="345">
        <f t="shared" si="33"/>
        <v>2000</v>
      </c>
      <c r="AA111" s="345">
        <f t="shared" si="33"/>
        <v>0</v>
      </c>
      <c r="AB111" s="345">
        <f t="shared" si="33"/>
        <v>240</v>
      </c>
    </row>
    <row r="112" spans="1:28" ht="15.95" customHeight="1">
      <c r="A112" s="332" t="s">
        <v>1616</v>
      </c>
      <c r="B112" s="345">
        <f>C112+T112</f>
        <v>48250</v>
      </c>
      <c r="C112" s="345">
        <f>SUM(D112:S112)</f>
        <v>36554</v>
      </c>
      <c r="D112" s="345">
        <f>16992-2000</f>
        <v>14992</v>
      </c>
      <c r="E112" s="345">
        <f>4006</f>
        <v>4006</v>
      </c>
      <c r="F112" s="345">
        <v>0</v>
      </c>
      <c r="G112" s="345">
        <f>3843-1500</f>
        <v>2343</v>
      </c>
      <c r="H112" s="345">
        <f>100+769</f>
        <v>869</v>
      </c>
      <c r="I112" s="345">
        <v>2771</v>
      </c>
      <c r="J112" s="345">
        <v>1629</v>
      </c>
      <c r="K112" s="345">
        <f>814+529</f>
        <v>1343</v>
      </c>
      <c r="L112" s="345">
        <f>1589-291</f>
        <v>1298</v>
      </c>
      <c r="M112" s="345">
        <f>1314-142</f>
        <v>1172</v>
      </c>
      <c r="N112" s="345">
        <f>28+2038</f>
        <v>2066</v>
      </c>
      <c r="O112" s="345">
        <v>1520</v>
      </c>
      <c r="P112" s="345">
        <f>345+1915</f>
        <v>2260</v>
      </c>
      <c r="Q112" s="345"/>
      <c r="R112" s="345">
        <v>285</v>
      </c>
      <c r="S112" s="345"/>
      <c r="T112" s="345">
        <f t="shared" si="32"/>
        <v>11696</v>
      </c>
      <c r="U112" s="345">
        <f>278+2204</f>
        <v>2482</v>
      </c>
      <c r="V112" s="345">
        <f>868+4070</f>
        <v>4938</v>
      </c>
      <c r="W112" s="345">
        <f>800+1609</f>
        <v>2409</v>
      </c>
      <c r="X112" s="345"/>
      <c r="Y112" s="345">
        <v>1507</v>
      </c>
      <c r="Z112" s="345">
        <v>260</v>
      </c>
      <c r="AA112" s="345"/>
      <c r="AB112" s="345">
        <v>100</v>
      </c>
    </row>
    <row r="113" spans="1:28" ht="15.95" customHeight="1">
      <c r="A113" s="332" t="s">
        <v>1617</v>
      </c>
      <c r="B113" s="345">
        <f>C113+T113</f>
        <v>48636</v>
      </c>
      <c r="C113" s="345">
        <f>SUM(D113:S113)</f>
        <v>30741</v>
      </c>
      <c r="D113" s="345">
        <f>16585-1000</f>
        <v>15585</v>
      </c>
      <c r="E113" s="345">
        <f>500+3520+309</f>
        <v>4329</v>
      </c>
      <c r="F113" s="345"/>
      <c r="G113" s="345">
        <f>1040-244+500</f>
        <v>1296</v>
      </c>
      <c r="H113" s="345">
        <f>4078-100+531</f>
        <v>4509</v>
      </c>
      <c r="I113" s="345">
        <v>992</v>
      </c>
      <c r="J113" s="345">
        <v>650</v>
      </c>
      <c r="K113" s="345">
        <v>407</v>
      </c>
      <c r="L113" s="345">
        <v>230</v>
      </c>
      <c r="M113" s="345">
        <v>175</v>
      </c>
      <c r="N113" s="345">
        <v>700</v>
      </c>
      <c r="O113" s="345">
        <f>500+845</f>
        <v>1345</v>
      </c>
      <c r="P113" s="345">
        <v>423</v>
      </c>
      <c r="Q113" s="345"/>
      <c r="R113" s="345">
        <v>100</v>
      </c>
      <c r="S113" s="345"/>
      <c r="T113" s="345">
        <f t="shared" si="32"/>
        <v>17895</v>
      </c>
      <c r="U113" s="345">
        <v>1500</v>
      </c>
      <c r="V113" s="345">
        <f>555+500</f>
        <v>1055</v>
      </c>
      <c r="W113" s="345">
        <f>800+1700</f>
        <v>2500</v>
      </c>
      <c r="X113" s="345"/>
      <c r="Y113" s="345">
        <f>15936-3434+48</f>
        <v>12550</v>
      </c>
      <c r="Z113" s="345">
        <v>240</v>
      </c>
      <c r="AA113" s="345"/>
      <c r="AB113" s="345">
        <v>50</v>
      </c>
    </row>
    <row r="114" spans="1:28" ht="15.95" customHeight="1">
      <c r="A114" s="332" t="s">
        <v>1618</v>
      </c>
      <c r="B114" s="345">
        <f>C114+T114</f>
        <v>54500</v>
      </c>
      <c r="C114" s="345">
        <f>SUM(D114:S114)</f>
        <v>41805</v>
      </c>
      <c r="D114" s="345">
        <f>14502-273</f>
        <v>14229</v>
      </c>
      <c r="E114" s="345">
        <v>5735</v>
      </c>
      <c r="F114" s="345"/>
      <c r="G114" s="345">
        <v>406</v>
      </c>
      <c r="H114" s="345">
        <f>14752-3368-531</f>
        <v>10853</v>
      </c>
      <c r="I114" s="345">
        <f>1284+12</f>
        <v>1296</v>
      </c>
      <c r="J114" s="345">
        <v>730</v>
      </c>
      <c r="K114" s="345">
        <v>416</v>
      </c>
      <c r="L114" s="345">
        <v>185</v>
      </c>
      <c r="M114" s="345">
        <v>250</v>
      </c>
      <c r="N114" s="345">
        <v>276</v>
      </c>
      <c r="O114" s="345">
        <f>4000+3000</f>
        <v>7000</v>
      </c>
      <c r="P114" s="345">
        <v>429</v>
      </c>
      <c r="Q114" s="345"/>
      <c r="R114" s="345"/>
      <c r="S114" s="345"/>
      <c r="T114" s="345">
        <f t="shared" si="32"/>
        <v>12695</v>
      </c>
      <c r="U114" s="345">
        <v>4118</v>
      </c>
      <c r="V114" s="345">
        <f>500+1957</f>
        <v>2457</v>
      </c>
      <c r="W114" s="345">
        <f>800+1770</f>
        <v>2570</v>
      </c>
      <c r="X114" s="345"/>
      <c r="Y114" s="345">
        <v>2000</v>
      </c>
      <c r="Z114" s="345">
        <v>1500</v>
      </c>
      <c r="AA114" s="345"/>
      <c r="AB114" s="345">
        <v>50</v>
      </c>
    </row>
    <row r="115" spans="1:28" ht="15.95" customHeight="1">
      <c r="A115" s="333" t="s">
        <v>1619</v>
      </c>
      <c r="B115" s="345">
        <f>C115+T115</f>
        <v>10800</v>
      </c>
      <c r="C115" s="345">
        <f>SUM(D115:S115)</f>
        <v>7900</v>
      </c>
      <c r="D115" s="345">
        <v>4627</v>
      </c>
      <c r="E115" s="345">
        <v>350</v>
      </c>
      <c r="F115" s="345"/>
      <c r="G115" s="345">
        <v>370</v>
      </c>
      <c r="H115" s="345">
        <v>20</v>
      </c>
      <c r="I115" s="345">
        <v>420</v>
      </c>
      <c r="J115" s="345">
        <v>180</v>
      </c>
      <c r="K115" s="345">
        <v>55</v>
      </c>
      <c r="L115" s="345">
        <v>28</v>
      </c>
      <c r="M115" s="345">
        <v>55</v>
      </c>
      <c r="N115" s="345">
        <v>165</v>
      </c>
      <c r="O115" s="345">
        <v>1500</v>
      </c>
      <c r="P115" s="345">
        <v>130</v>
      </c>
      <c r="Q115" s="345"/>
      <c r="R115" s="345"/>
      <c r="S115" s="345"/>
      <c r="T115" s="345">
        <f t="shared" si="32"/>
        <v>2900</v>
      </c>
      <c r="U115" s="345">
        <v>350</v>
      </c>
      <c r="V115" s="345">
        <v>150</v>
      </c>
      <c r="W115" s="345">
        <f>508+1013</f>
        <v>1521</v>
      </c>
      <c r="X115" s="345"/>
      <c r="Y115" s="345">
        <f>887-48</f>
        <v>839</v>
      </c>
      <c r="Z115" s="345"/>
      <c r="AA115" s="345"/>
      <c r="AB115" s="345">
        <v>40</v>
      </c>
    </row>
    <row r="116" spans="1:28">
      <c r="A116" s="330" t="s">
        <v>1620</v>
      </c>
      <c r="B116" s="331">
        <f>SUM(C116,T116)</f>
        <v>662063</v>
      </c>
      <c r="C116" s="331">
        <f>C117+C118</f>
        <v>380037</v>
      </c>
      <c r="D116" s="331">
        <f>SUM(D117:D118)</f>
        <v>166031</v>
      </c>
      <c r="E116" s="331">
        <f t="shared" ref="E116:AB116" si="34">SUM(E117:E118)</f>
        <v>33836</v>
      </c>
      <c r="F116" s="331">
        <f t="shared" si="34"/>
        <v>0</v>
      </c>
      <c r="G116" s="331">
        <f t="shared" si="34"/>
        <v>23324</v>
      </c>
      <c r="H116" s="331">
        <f t="shared" si="34"/>
        <v>2653</v>
      </c>
      <c r="I116" s="331">
        <f t="shared" si="34"/>
        <v>22337</v>
      </c>
      <c r="J116" s="331">
        <f t="shared" si="34"/>
        <v>17224</v>
      </c>
      <c r="K116" s="331">
        <f t="shared" si="34"/>
        <v>10554</v>
      </c>
      <c r="L116" s="331">
        <f t="shared" si="34"/>
        <v>30637</v>
      </c>
      <c r="M116" s="331">
        <f t="shared" si="34"/>
        <v>22726</v>
      </c>
      <c r="N116" s="331">
        <f t="shared" si="34"/>
        <v>15928</v>
      </c>
      <c r="O116" s="331">
        <f t="shared" si="34"/>
        <v>5017</v>
      </c>
      <c r="P116" s="331">
        <f t="shared" si="34"/>
        <v>29700</v>
      </c>
      <c r="Q116" s="331">
        <f t="shared" si="34"/>
        <v>0</v>
      </c>
      <c r="R116" s="331">
        <f t="shared" si="34"/>
        <v>10</v>
      </c>
      <c r="S116" s="331">
        <f t="shared" si="34"/>
        <v>60</v>
      </c>
      <c r="T116" s="331">
        <f t="shared" si="34"/>
        <v>282026</v>
      </c>
      <c r="U116" s="331">
        <f t="shared" si="34"/>
        <v>24653</v>
      </c>
      <c r="V116" s="331">
        <f t="shared" si="34"/>
        <v>58924</v>
      </c>
      <c r="W116" s="331">
        <f t="shared" si="34"/>
        <v>33819</v>
      </c>
      <c r="X116" s="331">
        <f t="shared" si="34"/>
        <v>0</v>
      </c>
      <c r="Y116" s="331">
        <f t="shared" si="34"/>
        <v>79582</v>
      </c>
      <c r="Z116" s="331">
        <f t="shared" si="34"/>
        <v>9959</v>
      </c>
      <c r="AA116" s="331">
        <f t="shared" si="34"/>
        <v>39070</v>
      </c>
      <c r="AB116" s="331">
        <f t="shared" si="34"/>
        <v>36019</v>
      </c>
    </row>
    <row r="117" spans="1:28">
      <c r="A117" s="332" t="s">
        <v>1732</v>
      </c>
      <c r="B117" s="331">
        <v>106120</v>
      </c>
      <c r="C117" s="331">
        <v>46974</v>
      </c>
      <c r="D117" s="331">
        <v>27562</v>
      </c>
      <c r="E117" s="331">
        <v>2804</v>
      </c>
      <c r="F117" s="331">
        <v>0</v>
      </c>
      <c r="G117" s="331">
        <v>3208</v>
      </c>
      <c r="H117" s="331">
        <v>0</v>
      </c>
      <c r="I117" s="331">
        <v>3930</v>
      </c>
      <c r="J117" s="331">
        <v>960</v>
      </c>
      <c r="K117" s="331">
        <v>2100</v>
      </c>
      <c r="L117" s="331">
        <v>2500</v>
      </c>
      <c r="M117" s="331">
        <v>1950</v>
      </c>
      <c r="N117" s="331">
        <v>350</v>
      </c>
      <c r="O117" s="331">
        <v>100</v>
      </c>
      <c r="P117" s="331">
        <v>1500</v>
      </c>
      <c r="Q117" s="331">
        <v>0</v>
      </c>
      <c r="R117" s="331">
        <v>10</v>
      </c>
      <c r="S117" s="331">
        <v>0</v>
      </c>
      <c r="T117" s="331">
        <v>59146</v>
      </c>
      <c r="U117" s="331">
        <v>5285</v>
      </c>
      <c r="V117" s="331">
        <v>9751</v>
      </c>
      <c r="W117" s="331">
        <v>4669</v>
      </c>
      <c r="X117" s="331">
        <v>0</v>
      </c>
      <c r="Y117" s="331">
        <v>1000</v>
      </c>
      <c r="Z117" s="331">
        <v>0</v>
      </c>
      <c r="AA117" s="331">
        <v>27581</v>
      </c>
      <c r="AB117" s="331">
        <v>10860</v>
      </c>
    </row>
    <row r="118" spans="1:28">
      <c r="A118" s="332" t="s">
        <v>1194</v>
      </c>
      <c r="B118" s="331">
        <f t="shared" ref="B118:B130" si="35">SUM(C118,T118)</f>
        <v>555943</v>
      </c>
      <c r="C118" s="331">
        <f t="shared" ref="C118:C130" si="36">SUM(D118:S118)</f>
        <v>333063</v>
      </c>
      <c r="D118" s="331">
        <f t="shared" ref="D118:S118" si="37">SUM(D119:D130)</f>
        <v>138469</v>
      </c>
      <c r="E118" s="331">
        <f t="shared" si="37"/>
        <v>31032</v>
      </c>
      <c r="F118" s="331">
        <f t="shared" si="37"/>
        <v>0</v>
      </c>
      <c r="G118" s="331">
        <f t="shared" si="37"/>
        <v>20116</v>
      </c>
      <c r="H118" s="331">
        <f t="shared" si="37"/>
        <v>2653</v>
      </c>
      <c r="I118" s="331">
        <f t="shared" si="37"/>
        <v>18407</v>
      </c>
      <c r="J118" s="331">
        <f t="shared" si="37"/>
        <v>16264</v>
      </c>
      <c r="K118" s="331">
        <f t="shared" si="37"/>
        <v>8454</v>
      </c>
      <c r="L118" s="331">
        <f t="shared" si="37"/>
        <v>28137</v>
      </c>
      <c r="M118" s="331">
        <f t="shared" si="37"/>
        <v>20776</v>
      </c>
      <c r="N118" s="331">
        <f t="shared" si="37"/>
        <v>15578</v>
      </c>
      <c r="O118" s="331">
        <f t="shared" si="37"/>
        <v>4917</v>
      </c>
      <c r="P118" s="331">
        <f t="shared" si="37"/>
        <v>28200</v>
      </c>
      <c r="Q118" s="331">
        <f t="shared" si="37"/>
        <v>0</v>
      </c>
      <c r="R118" s="331">
        <f t="shared" si="37"/>
        <v>0</v>
      </c>
      <c r="S118" s="331">
        <f t="shared" si="37"/>
        <v>60</v>
      </c>
      <c r="T118" s="331">
        <f t="shared" ref="T118:T130" si="38">SUM(U118:AB118)</f>
        <v>222880</v>
      </c>
      <c r="U118" s="331">
        <f t="shared" ref="U118:AB118" si="39">SUM(U119:U130)</f>
        <v>19368</v>
      </c>
      <c r="V118" s="331">
        <f t="shared" si="39"/>
        <v>49173</v>
      </c>
      <c r="W118" s="331">
        <f t="shared" si="39"/>
        <v>29150</v>
      </c>
      <c r="X118" s="331">
        <f t="shared" si="39"/>
        <v>0</v>
      </c>
      <c r="Y118" s="331">
        <f t="shared" si="39"/>
        <v>78582</v>
      </c>
      <c r="Z118" s="331">
        <f t="shared" si="39"/>
        <v>9959</v>
      </c>
      <c r="AA118" s="331">
        <f t="shared" si="39"/>
        <v>11489</v>
      </c>
      <c r="AB118" s="331">
        <f t="shared" si="39"/>
        <v>25159</v>
      </c>
    </row>
    <row r="119" spans="1:28">
      <c r="A119" s="332" t="s">
        <v>1621</v>
      </c>
      <c r="B119" s="331">
        <f t="shared" si="35"/>
        <v>174150</v>
      </c>
      <c r="C119" s="331">
        <f t="shared" si="36"/>
        <v>128650</v>
      </c>
      <c r="D119" s="331">
        <v>45318</v>
      </c>
      <c r="E119" s="331">
        <v>9220</v>
      </c>
      <c r="F119" s="331"/>
      <c r="G119" s="331">
        <v>8700</v>
      </c>
      <c r="H119" s="331">
        <v>12</v>
      </c>
      <c r="I119" s="331">
        <v>9100</v>
      </c>
      <c r="J119" s="331">
        <v>6400</v>
      </c>
      <c r="K119" s="331">
        <v>3300</v>
      </c>
      <c r="L119" s="331">
        <v>9100</v>
      </c>
      <c r="M119" s="331">
        <v>10500</v>
      </c>
      <c r="N119" s="331">
        <v>6600</v>
      </c>
      <c r="O119" s="331">
        <v>500</v>
      </c>
      <c r="P119" s="331">
        <v>19850</v>
      </c>
      <c r="Q119" s="331"/>
      <c r="R119" s="331"/>
      <c r="S119" s="331">
        <v>50</v>
      </c>
      <c r="T119" s="331">
        <f t="shared" si="38"/>
        <v>45500</v>
      </c>
      <c r="U119" s="331">
        <v>7280</v>
      </c>
      <c r="V119" s="331">
        <v>20762</v>
      </c>
      <c r="W119" s="331">
        <v>7195</v>
      </c>
      <c r="X119" s="331"/>
      <c r="Y119" s="331">
        <v>4133</v>
      </c>
      <c r="Z119" s="331"/>
      <c r="AA119" s="331">
        <v>4915</v>
      </c>
      <c r="AB119" s="331">
        <v>1215</v>
      </c>
    </row>
    <row r="120" spans="1:28">
      <c r="A120" s="333" t="s">
        <v>1622</v>
      </c>
      <c r="B120" s="331">
        <f t="shared" si="35"/>
        <v>26200</v>
      </c>
      <c r="C120" s="331">
        <f t="shared" si="36"/>
        <v>13647</v>
      </c>
      <c r="D120" s="331">
        <v>6211</v>
      </c>
      <c r="E120" s="331">
        <v>1190</v>
      </c>
      <c r="F120" s="331"/>
      <c r="G120" s="331">
        <v>905</v>
      </c>
      <c r="H120" s="331">
        <v>248</v>
      </c>
      <c r="I120" s="331">
        <v>548</v>
      </c>
      <c r="J120" s="331">
        <v>486</v>
      </c>
      <c r="K120" s="331">
        <v>418</v>
      </c>
      <c r="L120" s="331">
        <v>1556</v>
      </c>
      <c r="M120" s="331">
        <v>482</v>
      </c>
      <c r="N120" s="331">
        <v>667</v>
      </c>
      <c r="O120" s="331">
        <v>251</v>
      </c>
      <c r="P120" s="331">
        <v>685</v>
      </c>
      <c r="Q120" s="331"/>
      <c r="R120" s="331"/>
      <c r="S120" s="331"/>
      <c r="T120" s="331">
        <f t="shared" si="38"/>
        <v>12553</v>
      </c>
      <c r="U120" s="331">
        <v>592</v>
      </c>
      <c r="V120" s="331">
        <v>1340</v>
      </c>
      <c r="W120" s="331">
        <v>859</v>
      </c>
      <c r="X120" s="331"/>
      <c r="Y120" s="331">
        <v>4090</v>
      </c>
      <c r="Z120" s="331">
        <v>3000</v>
      </c>
      <c r="AA120" s="331">
        <v>131</v>
      </c>
      <c r="AB120" s="331">
        <v>2541</v>
      </c>
    </row>
    <row r="121" spans="1:28">
      <c r="A121" s="332" t="s">
        <v>1623</v>
      </c>
      <c r="B121" s="331">
        <f t="shared" si="35"/>
        <v>40500</v>
      </c>
      <c r="C121" s="331">
        <f t="shared" si="36"/>
        <v>25063</v>
      </c>
      <c r="D121" s="331">
        <v>10000</v>
      </c>
      <c r="E121" s="331">
        <v>2250</v>
      </c>
      <c r="F121" s="331"/>
      <c r="G121" s="331">
        <v>1500</v>
      </c>
      <c r="H121" s="331">
        <v>3</v>
      </c>
      <c r="I121" s="331">
        <v>990</v>
      </c>
      <c r="J121" s="331">
        <v>3140</v>
      </c>
      <c r="K121" s="331">
        <v>650</v>
      </c>
      <c r="L121" s="331">
        <v>2850</v>
      </c>
      <c r="M121" s="331">
        <v>800</v>
      </c>
      <c r="N121" s="331">
        <v>920</v>
      </c>
      <c r="O121" s="331">
        <v>660</v>
      </c>
      <c r="P121" s="331">
        <v>1300</v>
      </c>
      <c r="Q121" s="331"/>
      <c r="R121" s="331"/>
      <c r="S121" s="331"/>
      <c r="T121" s="331">
        <f t="shared" si="38"/>
        <v>15437</v>
      </c>
      <c r="U121" s="331">
        <v>1110</v>
      </c>
      <c r="V121" s="331">
        <v>1580</v>
      </c>
      <c r="W121" s="331">
        <v>4570</v>
      </c>
      <c r="X121" s="331"/>
      <c r="Y121" s="331">
        <v>887</v>
      </c>
      <c r="Z121" s="331">
        <v>2000</v>
      </c>
      <c r="AA121" s="331">
        <v>400</v>
      </c>
      <c r="AB121" s="331">
        <v>4890</v>
      </c>
    </row>
    <row r="122" spans="1:28">
      <c r="A122" s="333" t="s">
        <v>1624</v>
      </c>
      <c r="B122" s="331">
        <f t="shared" si="35"/>
        <v>20328</v>
      </c>
      <c r="C122" s="331">
        <f t="shared" si="36"/>
        <v>8593</v>
      </c>
      <c r="D122" s="331">
        <v>4057</v>
      </c>
      <c r="E122" s="331">
        <v>1043</v>
      </c>
      <c r="F122" s="331"/>
      <c r="G122" s="331">
        <v>485</v>
      </c>
      <c r="H122" s="331">
        <v>180</v>
      </c>
      <c r="I122" s="331">
        <v>312</v>
      </c>
      <c r="J122" s="331">
        <v>665</v>
      </c>
      <c r="K122" s="331">
        <v>152</v>
      </c>
      <c r="L122" s="331">
        <v>462</v>
      </c>
      <c r="M122" s="331">
        <v>460</v>
      </c>
      <c r="N122" s="331">
        <v>502</v>
      </c>
      <c r="O122" s="331">
        <v>41</v>
      </c>
      <c r="P122" s="331">
        <v>234</v>
      </c>
      <c r="Q122" s="331"/>
      <c r="R122" s="331"/>
      <c r="S122" s="331"/>
      <c r="T122" s="331">
        <f t="shared" si="38"/>
        <v>11735</v>
      </c>
      <c r="U122" s="331">
        <v>453</v>
      </c>
      <c r="V122" s="331">
        <v>1138</v>
      </c>
      <c r="W122" s="331">
        <v>1006</v>
      </c>
      <c r="X122" s="331"/>
      <c r="Y122" s="331">
        <v>8742</v>
      </c>
      <c r="Z122" s="331"/>
      <c r="AA122" s="331">
        <v>349</v>
      </c>
      <c r="AB122" s="331">
        <v>47</v>
      </c>
    </row>
    <row r="123" spans="1:28">
      <c r="A123" s="333" t="s">
        <v>1625</v>
      </c>
      <c r="B123" s="331">
        <f t="shared" si="35"/>
        <v>29067</v>
      </c>
      <c r="C123" s="331">
        <f t="shared" si="36"/>
        <v>20347</v>
      </c>
      <c r="D123" s="331">
        <v>6706</v>
      </c>
      <c r="E123" s="331">
        <v>1840</v>
      </c>
      <c r="F123" s="331"/>
      <c r="G123" s="331">
        <v>1770</v>
      </c>
      <c r="H123" s="331">
        <v>94</v>
      </c>
      <c r="I123" s="331">
        <v>650</v>
      </c>
      <c r="J123" s="331">
        <v>633</v>
      </c>
      <c r="K123" s="331">
        <v>251</v>
      </c>
      <c r="L123" s="331">
        <v>5992</v>
      </c>
      <c r="M123" s="331">
        <v>141</v>
      </c>
      <c r="N123" s="331">
        <v>668</v>
      </c>
      <c r="O123" s="331">
        <v>1356</v>
      </c>
      <c r="P123" s="331">
        <v>246</v>
      </c>
      <c r="Q123" s="331"/>
      <c r="R123" s="331"/>
      <c r="S123" s="331"/>
      <c r="T123" s="331">
        <f t="shared" si="38"/>
        <v>8720</v>
      </c>
      <c r="U123" s="331">
        <v>622</v>
      </c>
      <c r="V123" s="331">
        <v>494</v>
      </c>
      <c r="W123" s="331">
        <v>869</v>
      </c>
      <c r="X123" s="331"/>
      <c r="Y123" s="331">
        <v>3615</v>
      </c>
      <c r="Z123" s="331">
        <v>194</v>
      </c>
      <c r="AA123" s="331"/>
      <c r="AB123" s="331">
        <v>2926</v>
      </c>
    </row>
    <row r="124" spans="1:28">
      <c r="A124" s="332" t="s">
        <v>1626</v>
      </c>
      <c r="B124" s="331">
        <f t="shared" si="35"/>
        <v>65207</v>
      </c>
      <c r="C124" s="331">
        <f t="shared" si="36"/>
        <v>33256</v>
      </c>
      <c r="D124" s="331">
        <v>14571</v>
      </c>
      <c r="E124" s="331">
        <v>3332</v>
      </c>
      <c r="F124" s="331"/>
      <c r="G124" s="331">
        <v>1917</v>
      </c>
      <c r="H124" s="331">
        <v>215</v>
      </c>
      <c r="I124" s="331">
        <v>1472</v>
      </c>
      <c r="J124" s="331">
        <v>1111</v>
      </c>
      <c r="K124" s="331">
        <v>831</v>
      </c>
      <c r="L124" s="331">
        <v>1445</v>
      </c>
      <c r="M124" s="331">
        <v>2865</v>
      </c>
      <c r="N124" s="331">
        <v>1833</v>
      </c>
      <c r="O124" s="331">
        <v>1449</v>
      </c>
      <c r="P124" s="331">
        <v>2215</v>
      </c>
      <c r="Q124" s="331"/>
      <c r="R124" s="331"/>
      <c r="S124" s="331"/>
      <c r="T124" s="331">
        <f t="shared" si="38"/>
        <v>31951</v>
      </c>
      <c r="U124" s="331">
        <v>2764</v>
      </c>
      <c r="V124" s="331">
        <v>7792</v>
      </c>
      <c r="W124" s="331">
        <v>4095</v>
      </c>
      <c r="X124" s="331"/>
      <c r="Y124" s="331">
        <v>5423</v>
      </c>
      <c r="Z124" s="331">
        <v>3240</v>
      </c>
      <c r="AA124" s="331">
        <v>1047</v>
      </c>
      <c r="AB124" s="331">
        <v>7590</v>
      </c>
    </row>
    <row r="125" spans="1:28">
      <c r="A125" s="332" t="s">
        <v>1627</v>
      </c>
      <c r="B125" s="331">
        <f t="shared" si="35"/>
        <v>59940</v>
      </c>
      <c r="C125" s="331">
        <f t="shared" si="36"/>
        <v>32967</v>
      </c>
      <c r="D125" s="331">
        <v>14300</v>
      </c>
      <c r="E125" s="331">
        <v>4937</v>
      </c>
      <c r="F125" s="331"/>
      <c r="G125" s="331">
        <v>1500</v>
      </c>
      <c r="H125" s="331">
        <v>900</v>
      </c>
      <c r="I125" s="331">
        <v>1600</v>
      </c>
      <c r="J125" s="331">
        <v>1300</v>
      </c>
      <c r="K125" s="331">
        <v>700</v>
      </c>
      <c r="L125" s="331">
        <v>2700</v>
      </c>
      <c r="M125" s="331">
        <v>1800</v>
      </c>
      <c r="N125" s="331">
        <v>1400</v>
      </c>
      <c r="O125" s="331">
        <v>220</v>
      </c>
      <c r="P125" s="331">
        <v>1610</v>
      </c>
      <c r="Q125" s="331"/>
      <c r="R125" s="331"/>
      <c r="S125" s="331"/>
      <c r="T125" s="331">
        <f t="shared" si="38"/>
        <v>26973</v>
      </c>
      <c r="U125" s="331">
        <v>1400</v>
      </c>
      <c r="V125" s="331">
        <v>8823</v>
      </c>
      <c r="W125" s="331">
        <v>2900</v>
      </c>
      <c r="X125" s="331"/>
      <c r="Y125" s="331">
        <v>11500</v>
      </c>
      <c r="Z125" s="331"/>
      <c r="AA125" s="331">
        <v>2050</v>
      </c>
      <c r="AB125" s="331">
        <v>300</v>
      </c>
    </row>
    <row r="126" spans="1:28">
      <c r="A126" s="333" t="s">
        <v>1628</v>
      </c>
      <c r="B126" s="331">
        <f t="shared" si="35"/>
        <v>22477</v>
      </c>
      <c r="C126" s="331">
        <f t="shared" si="36"/>
        <v>10000</v>
      </c>
      <c r="D126" s="331">
        <v>5000</v>
      </c>
      <c r="E126" s="331">
        <v>1120</v>
      </c>
      <c r="F126" s="331"/>
      <c r="G126" s="331">
        <v>620</v>
      </c>
      <c r="H126" s="331">
        <v>10</v>
      </c>
      <c r="I126" s="331">
        <v>400</v>
      </c>
      <c r="J126" s="331">
        <v>410</v>
      </c>
      <c r="K126" s="331">
        <v>360</v>
      </c>
      <c r="L126" s="331">
        <v>710</v>
      </c>
      <c r="M126" s="331">
        <v>200</v>
      </c>
      <c r="N126" s="331">
        <v>650</v>
      </c>
      <c r="O126" s="331">
        <v>120</v>
      </c>
      <c r="P126" s="331">
        <v>400</v>
      </c>
      <c r="Q126" s="331"/>
      <c r="R126" s="331"/>
      <c r="S126" s="331"/>
      <c r="T126" s="331">
        <f t="shared" si="38"/>
        <v>12477</v>
      </c>
      <c r="U126" s="331">
        <v>500</v>
      </c>
      <c r="V126" s="331">
        <v>700</v>
      </c>
      <c r="W126" s="331">
        <v>1750</v>
      </c>
      <c r="X126" s="331"/>
      <c r="Y126" s="331">
        <v>8010</v>
      </c>
      <c r="Z126" s="331">
        <v>300</v>
      </c>
      <c r="AA126" s="331">
        <v>1217</v>
      </c>
      <c r="AB126" s="331"/>
    </row>
    <row r="127" spans="1:28">
      <c r="A127" s="333" t="s">
        <v>1629</v>
      </c>
      <c r="B127" s="331">
        <f t="shared" si="35"/>
        <v>20447</v>
      </c>
      <c r="C127" s="331">
        <f t="shared" si="36"/>
        <v>10137</v>
      </c>
      <c r="D127" s="331">
        <v>4485</v>
      </c>
      <c r="E127" s="331">
        <v>1252</v>
      </c>
      <c r="F127" s="331"/>
      <c r="G127" s="331">
        <v>593</v>
      </c>
      <c r="H127" s="331">
        <v>2</v>
      </c>
      <c r="I127" s="331">
        <v>603</v>
      </c>
      <c r="J127" s="331">
        <v>350</v>
      </c>
      <c r="K127" s="331">
        <v>430</v>
      </c>
      <c r="L127" s="331">
        <v>632</v>
      </c>
      <c r="M127" s="331">
        <v>770</v>
      </c>
      <c r="N127" s="331">
        <v>550</v>
      </c>
      <c r="O127" s="331">
        <v>120</v>
      </c>
      <c r="P127" s="331">
        <v>350</v>
      </c>
      <c r="Q127" s="331"/>
      <c r="R127" s="331"/>
      <c r="S127" s="331"/>
      <c r="T127" s="331">
        <f t="shared" si="38"/>
        <v>10310</v>
      </c>
      <c r="U127" s="331">
        <v>500</v>
      </c>
      <c r="V127" s="331">
        <v>1100</v>
      </c>
      <c r="W127" s="331">
        <v>1200</v>
      </c>
      <c r="X127" s="331"/>
      <c r="Y127" s="331">
        <v>6285</v>
      </c>
      <c r="Z127" s="331">
        <v>1225</v>
      </c>
      <c r="AA127" s="331"/>
      <c r="AB127" s="331"/>
    </row>
    <row r="128" spans="1:28">
      <c r="A128" s="333" t="s">
        <v>1630</v>
      </c>
      <c r="B128" s="331">
        <f t="shared" si="35"/>
        <v>43122</v>
      </c>
      <c r="C128" s="331">
        <f t="shared" si="36"/>
        <v>20000</v>
      </c>
      <c r="D128" s="331">
        <v>9068</v>
      </c>
      <c r="E128" s="331">
        <v>2500</v>
      </c>
      <c r="F128" s="331"/>
      <c r="G128" s="331">
        <v>1000</v>
      </c>
      <c r="H128" s="331">
        <v>700</v>
      </c>
      <c r="I128" s="331">
        <v>812</v>
      </c>
      <c r="J128" s="331">
        <v>900</v>
      </c>
      <c r="K128" s="331">
        <v>500</v>
      </c>
      <c r="L128" s="331">
        <v>1600</v>
      </c>
      <c r="M128" s="331">
        <v>2000</v>
      </c>
      <c r="N128" s="331">
        <v>620</v>
      </c>
      <c r="O128" s="331"/>
      <c r="P128" s="331">
        <v>300</v>
      </c>
      <c r="Q128" s="331"/>
      <c r="R128" s="331"/>
      <c r="S128" s="331"/>
      <c r="T128" s="331">
        <f t="shared" si="38"/>
        <v>23122</v>
      </c>
      <c r="U128" s="331">
        <v>1000</v>
      </c>
      <c r="V128" s="331">
        <v>3215</v>
      </c>
      <c r="W128" s="331">
        <v>2000</v>
      </c>
      <c r="X128" s="331"/>
      <c r="Y128" s="331">
        <v>16107</v>
      </c>
      <c r="Z128" s="331"/>
      <c r="AA128" s="331">
        <v>700</v>
      </c>
      <c r="AB128" s="331">
        <v>100</v>
      </c>
    </row>
    <row r="129" spans="1:29">
      <c r="A129" s="333" t="s">
        <v>1631</v>
      </c>
      <c r="B129" s="331">
        <f t="shared" si="35"/>
        <v>38037</v>
      </c>
      <c r="C129" s="331">
        <f t="shared" si="36"/>
        <v>21955</v>
      </c>
      <c r="D129" s="331">
        <v>12463</v>
      </c>
      <c r="E129" s="331">
        <v>1720</v>
      </c>
      <c r="F129" s="331"/>
      <c r="G129" s="331">
        <v>706</v>
      </c>
      <c r="H129" s="331">
        <v>154</v>
      </c>
      <c r="I129" s="331">
        <v>1480</v>
      </c>
      <c r="J129" s="331">
        <v>754</v>
      </c>
      <c r="K129" s="331">
        <v>742</v>
      </c>
      <c r="L129" s="331">
        <v>1070</v>
      </c>
      <c r="M129" s="331">
        <v>698</v>
      </c>
      <c r="N129" s="331">
        <v>1058</v>
      </c>
      <c r="O129" s="331">
        <v>200</v>
      </c>
      <c r="P129" s="331">
        <v>900</v>
      </c>
      <c r="Q129" s="331"/>
      <c r="R129" s="331"/>
      <c r="S129" s="331">
        <v>10</v>
      </c>
      <c r="T129" s="331">
        <f t="shared" si="38"/>
        <v>16082</v>
      </c>
      <c r="U129" s="331">
        <v>2697</v>
      </c>
      <c r="V129" s="331">
        <v>2029</v>
      </c>
      <c r="W129" s="331">
        <v>2556</v>
      </c>
      <c r="X129" s="331"/>
      <c r="Y129" s="331">
        <v>8800</v>
      </c>
      <c r="Z129" s="331"/>
      <c r="AA129" s="331"/>
      <c r="AB129" s="331"/>
    </row>
    <row r="130" spans="1:29">
      <c r="A130" s="333" t="s">
        <v>1632</v>
      </c>
      <c r="B130" s="331">
        <f t="shared" si="35"/>
        <v>16468</v>
      </c>
      <c r="C130" s="331">
        <f t="shared" si="36"/>
        <v>8448</v>
      </c>
      <c r="D130" s="331">
        <v>6290</v>
      </c>
      <c r="E130" s="331">
        <v>628</v>
      </c>
      <c r="F130" s="331"/>
      <c r="G130" s="331">
        <v>420</v>
      </c>
      <c r="H130" s="331">
        <v>135</v>
      </c>
      <c r="I130" s="331">
        <v>440</v>
      </c>
      <c r="J130" s="331">
        <v>115</v>
      </c>
      <c r="K130" s="331">
        <v>120</v>
      </c>
      <c r="L130" s="331">
        <v>20</v>
      </c>
      <c r="M130" s="331">
        <v>60</v>
      </c>
      <c r="N130" s="331">
        <v>110</v>
      </c>
      <c r="O130" s="331"/>
      <c r="P130" s="331">
        <v>110</v>
      </c>
      <c r="Q130" s="331"/>
      <c r="R130" s="331"/>
      <c r="S130" s="331"/>
      <c r="T130" s="331">
        <f t="shared" si="38"/>
        <v>8020</v>
      </c>
      <c r="U130" s="331">
        <v>450</v>
      </c>
      <c r="V130" s="331">
        <v>200</v>
      </c>
      <c r="W130" s="331">
        <v>150</v>
      </c>
      <c r="X130" s="331"/>
      <c r="Y130" s="331">
        <v>990</v>
      </c>
      <c r="Z130" s="331"/>
      <c r="AA130" s="331">
        <v>680</v>
      </c>
      <c r="AB130" s="331">
        <v>5550</v>
      </c>
    </row>
    <row r="131" spans="1:29" ht="15.95" customHeight="1">
      <c r="A131" s="346" t="s">
        <v>1733</v>
      </c>
      <c r="B131" s="347">
        <f>C131+T131</f>
        <v>338660</v>
      </c>
      <c r="C131" s="347">
        <f>C132+C133</f>
        <v>223111</v>
      </c>
      <c r="D131" s="347">
        <f t="shared" ref="D131:AB131" si="40">D132+D133</f>
        <v>111977</v>
      </c>
      <c r="E131" s="347">
        <f t="shared" si="40"/>
        <v>20288</v>
      </c>
      <c r="F131" s="347">
        <f t="shared" si="40"/>
        <v>0</v>
      </c>
      <c r="G131" s="347">
        <f t="shared" si="40"/>
        <v>11837</v>
      </c>
      <c r="H131" s="347">
        <f t="shared" si="40"/>
        <v>3686</v>
      </c>
      <c r="I131" s="347">
        <f t="shared" si="40"/>
        <v>12931</v>
      </c>
      <c r="J131" s="347">
        <f t="shared" si="40"/>
        <v>6365</v>
      </c>
      <c r="K131" s="347">
        <f t="shared" si="40"/>
        <v>3937</v>
      </c>
      <c r="L131" s="347">
        <f t="shared" si="40"/>
        <v>3579</v>
      </c>
      <c r="M131" s="347">
        <f t="shared" si="40"/>
        <v>11866</v>
      </c>
      <c r="N131" s="347">
        <f t="shared" si="40"/>
        <v>11626</v>
      </c>
      <c r="O131" s="347">
        <f t="shared" si="40"/>
        <v>1492</v>
      </c>
      <c r="P131" s="347">
        <f t="shared" si="40"/>
        <v>22867</v>
      </c>
      <c r="Q131" s="347">
        <f t="shared" si="40"/>
        <v>0</v>
      </c>
      <c r="R131" s="347">
        <f t="shared" si="40"/>
        <v>660</v>
      </c>
      <c r="S131" s="347">
        <f t="shared" si="40"/>
        <v>0</v>
      </c>
      <c r="T131" s="347">
        <f t="shared" si="40"/>
        <v>115549</v>
      </c>
      <c r="U131" s="347">
        <f t="shared" si="40"/>
        <v>15663</v>
      </c>
      <c r="V131" s="347">
        <f t="shared" si="40"/>
        <v>16782</v>
      </c>
      <c r="W131" s="347">
        <f t="shared" si="40"/>
        <v>32939</v>
      </c>
      <c r="X131" s="347">
        <f t="shared" si="40"/>
        <v>0</v>
      </c>
      <c r="Y131" s="347">
        <f t="shared" si="40"/>
        <v>34505</v>
      </c>
      <c r="Z131" s="347">
        <f t="shared" si="40"/>
        <v>124</v>
      </c>
      <c r="AA131" s="347">
        <f t="shared" si="40"/>
        <v>12418</v>
      </c>
      <c r="AB131" s="347">
        <f t="shared" si="40"/>
        <v>3118</v>
      </c>
    </row>
    <row r="132" spans="1:29" ht="15.95" customHeight="1">
      <c r="A132" s="333" t="s">
        <v>1725</v>
      </c>
      <c r="B132" s="347">
        <f t="shared" ref="B132:B141" si="41">C132+T132</f>
        <v>19260</v>
      </c>
      <c r="C132" s="179">
        <v>660</v>
      </c>
      <c r="D132" s="179"/>
      <c r="E132" s="179"/>
      <c r="F132" s="179"/>
      <c r="G132" s="179"/>
      <c r="H132" s="179"/>
      <c r="I132" s="179"/>
      <c r="J132" s="179"/>
      <c r="K132" s="179"/>
      <c r="L132" s="179"/>
      <c r="M132" s="179"/>
      <c r="N132" s="179"/>
      <c r="O132" s="179"/>
      <c r="P132" s="179"/>
      <c r="Q132" s="179"/>
      <c r="R132" s="179">
        <v>660</v>
      </c>
      <c r="S132" s="179"/>
      <c r="T132" s="179">
        <f>SUM(U132:AB132)</f>
        <v>18600</v>
      </c>
      <c r="U132" s="179">
        <v>1200</v>
      </c>
      <c r="V132" s="179">
        <v>4570</v>
      </c>
      <c r="W132" s="179">
        <v>1800</v>
      </c>
      <c r="X132" s="179"/>
      <c r="Y132" s="179">
        <v>5200</v>
      </c>
      <c r="Z132" s="179"/>
      <c r="AA132" s="179">
        <v>5830</v>
      </c>
      <c r="AB132" s="179"/>
      <c r="AC132" s="149"/>
    </row>
    <row r="133" spans="1:29" ht="15.95" customHeight="1">
      <c r="A133" s="333" t="s">
        <v>1194</v>
      </c>
      <c r="B133" s="347">
        <f t="shared" si="41"/>
        <v>319400</v>
      </c>
      <c r="C133" s="179">
        <f>SUM(C134:C141)</f>
        <v>222451</v>
      </c>
      <c r="D133" s="179">
        <f t="shared" ref="D133:AB133" si="42">SUM(D134:D141)</f>
        <v>111977</v>
      </c>
      <c r="E133" s="179">
        <f t="shared" si="42"/>
        <v>20288</v>
      </c>
      <c r="F133" s="179">
        <f t="shared" si="42"/>
        <v>0</v>
      </c>
      <c r="G133" s="179">
        <f t="shared" si="42"/>
        <v>11837</v>
      </c>
      <c r="H133" s="179">
        <f t="shared" si="42"/>
        <v>3686</v>
      </c>
      <c r="I133" s="179">
        <f t="shared" si="42"/>
        <v>12931</v>
      </c>
      <c r="J133" s="179">
        <f t="shared" si="42"/>
        <v>6365</v>
      </c>
      <c r="K133" s="179">
        <f t="shared" si="42"/>
        <v>3937</v>
      </c>
      <c r="L133" s="179">
        <f t="shared" si="42"/>
        <v>3579</v>
      </c>
      <c r="M133" s="179">
        <f t="shared" si="42"/>
        <v>11866</v>
      </c>
      <c r="N133" s="179">
        <f t="shared" si="42"/>
        <v>11626</v>
      </c>
      <c r="O133" s="179">
        <f t="shared" si="42"/>
        <v>1492</v>
      </c>
      <c r="P133" s="179">
        <f t="shared" si="42"/>
        <v>22867</v>
      </c>
      <c r="Q133" s="179">
        <f t="shared" si="42"/>
        <v>0</v>
      </c>
      <c r="R133" s="179">
        <f t="shared" si="42"/>
        <v>0</v>
      </c>
      <c r="S133" s="179">
        <f t="shared" si="42"/>
        <v>0</v>
      </c>
      <c r="T133" s="179">
        <f t="shared" si="42"/>
        <v>96949</v>
      </c>
      <c r="U133" s="179">
        <f t="shared" si="42"/>
        <v>14463</v>
      </c>
      <c r="V133" s="179">
        <f t="shared" si="42"/>
        <v>12212</v>
      </c>
      <c r="W133" s="179">
        <f t="shared" si="42"/>
        <v>31139</v>
      </c>
      <c r="X133" s="179">
        <f t="shared" si="42"/>
        <v>0</v>
      </c>
      <c r="Y133" s="179">
        <f t="shared" si="42"/>
        <v>29305</v>
      </c>
      <c r="Z133" s="179">
        <f t="shared" si="42"/>
        <v>124</v>
      </c>
      <c r="AA133" s="179">
        <f t="shared" si="42"/>
        <v>6588</v>
      </c>
      <c r="AB133" s="179">
        <f t="shared" si="42"/>
        <v>3118</v>
      </c>
      <c r="AC133" s="149">
        <f>AC134+AC135+AC136+AC137+AC138+AC139+AC140+AC141</f>
        <v>0</v>
      </c>
    </row>
    <row r="134" spans="1:29" ht="15.95" customHeight="1">
      <c r="A134" s="332" t="s">
        <v>1633</v>
      </c>
      <c r="B134" s="347">
        <f t="shared" si="41"/>
        <v>120100</v>
      </c>
      <c r="C134" s="179">
        <v>97865</v>
      </c>
      <c r="D134" s="179">
        <v>40105</v>
      </c>
      <c r="E134" s="179">
        <v>9075</v>
      </c>
      <c r="F134" s="179"/>
      <c r="G134" s="179">
        <v>5627</v>
      </c>
      <c r="H134" s="179">
        <v>92</v>
      </c>
      <c r="I134" s="179">
        <v>6892</v>
      </c>
      <c r="J134" s="179">
        <v>3263</v>
      </c>
      <c r="K134" s="179">
        <v>1913</v>
      </c>
      <c r="L134" s="179">
        <v>1800</v>
      </c>
      <c r="M134" s="179">
        <v>8361</v>
      </c>
      <c r="N134" s="179">
        <v>4927</v>
      </c>
      <c r="O134" s="179">
        <v>95</v>
      </c>
      <c r="P134" s="179">
        <v>15715</v>
      </c>
      <c r="Q134" s="179"/>
      <c r="R134" s="179"/>
      <c r="S134" s="179"/>
      <c r="T134" s="179">
        <f t="shared" ref="T134:T141" si="43">SUM(U134:AB134)</f>
        <v>22235</v>
      </c>
      <c r="U134" s="179">
        <v>6206</v>
      </c>
      <c r="V134" s="179">
        <v>2394</v>
      </c>
      <c r="W134" s="179">
        <v>9651</v>
      </c>
      <c r="X134" s="179"/>
      <c r="Y134" s="179">
        <v>1484</v>
      </c>
      <c r="Z134" s="179"/>
      <c r="AA134" s="179">
        <v>2500</v>
      </c>
      <c r="AB134" s="179"/>
      <c r="AC134" s="149"/>
    </row>
    <row r="135" spans="1:29" ht="15.95" customHeight="1">
      <c r="A135" s="332" t="s">
        <v>1634</v>
      </c>
      <c r="B135" s="347">
        <f t="shared" si="41"/>
        <v>29400</v>
      </c>
      <c r="C135" s="179">
        <v>22200</v>
      </c>
      <c r="D135" s="179">
        <v>14870</v>
      </c>
      <c r="E135" s="179">
        <v>2500</v>
      </c>
      <c r="F135" s="179"/>
      <c r="G135" s="179">
        <v>1000</v>
      </c>
      <c r="H135" s="179">
        <v>700</v>
      </c>
      <c r="I135" s="179">
        <v>900</v>
      </c>
      <c r="J135" s="179">
        <v>400</v>
      </c>
      <c r="K135" s="179">
        <v>400</v>
      </c>
      <c r="L135" s="179">
        <v>150</v>
      </c>
      <c r="M135" s="179">
        <v>50</v>
      </c>
      <c r="N135" s="179">
        <v>900</v>
      </c>
      <c r="O135" s="179">
        <v>30</v>
      </c>
      <c r="P135" s="179">
        <v>300</v>
      </c>
      <c r="Q135" s="179"/>
      <c r="R135" s="179"/>
      <c r="S135" s="179"/>
      <c r="T135" s="179">
        <f t="shared" si="43"/>
        <v>7200</v>
      </c>
      <c r="U135" s="179">
        <v>1000</v>
      </c>
      <c r="V135" s="179">
        <v>1700</v>
      </c>
      <c r="W135" s="179">
        <v>2200</v>
      </c>
      <c r="X135" s="179"/>
      <c r="Y135" s="179">
        <v>2300</v>
      </c>
      <c r="Z135" s="179"/>
      <c r="AA135" s="179"/>
      <c r="AB135" s="179"/>
      <c r="AC135" s="149"/>
    </row>
    <row r="136" spans="1:29" ht="15.95" customHeight="1">
      <c r="A136" s="332" t="s">
        <v>1635</v>
      </c>
      <c r="B136" s="347">
        <f t="shared" si="41"/>
        <v>41800</v>
      </c>
      <c r="C136" s="179">
        <v>27000</v>
      </c>
      <c r="D136" s="179">
        <v>12500</v>
      </c>
      <c r="E136" s="179">
        <v>1509</v>
      </c>
      <c r="F136" s="179"/>
      <c r="G136" s="179">
        <v>1200</v>
      </c>
      <c r="H136" s="179">
        <v>500</v>
      </c>
      <c r="I136" s="179">
        <v>1400</v>
      </c>
      <c r="J136" s="179">
        <v>950</v>
      </c>
      <c r="K136" s="179">
        <v>420</v>
      </c>
      <c r="L136" s="179">
        <v>700</v>
      </c>
      <c r="M136" s="179">
        <v>1600</v>
      </c>
      <c r="N136" s="179">
        <v>2300</v>
      </c>
      <c r="O136" s="179">
        <v>501</v>
      </c>
      <c r="P136" s="179">
        <v>3420</v>
      </c>
      <c r="Q136" s="179"/>
      <c r="R136" s="179"/>
      <c r="S136" s="179"/>
      <c r="T136" s="179">
        <f t="shared" si="43"/>
        <v>14800</v>
      </c>
      <c r="U136" s="179">
        <v>2711</v>
      </c>
      <c r="V136" s="179">
        <v>3025</v>
      </c>
      <c r="W136" s="179">
        <v>4816</v>
      </c>
      <c r="X136" s="179"/>
      <c r="Y136" s="179">
        <v>4248</v>
      </c>
      <c r="Z136" s="179"/>
      <c r="AA136" s="179"/>
      <c r="AB136" s="179"/>
      <c r="AC136" s="149"/>
    </row>
    <row r="137" spans="1:29" ht="15.95" customHeight="1">
      <c r="A137" s="332" t="s">
        <v>1636</v>
      </c>
      <c r="B137" s="347">
        <f t="shared" si="41"/>
        <v>21700</v>
      </c>
      <c r="C137" s="179">
        <v>13214</v>
      </c>
      <c r="D137" s="179">
        <v>7623</v>
      </c>
      <c r="E137" s="179">
        <v>762</v>
      </c>
      <c r="F137" s="179"/>
      <c r="G137" s="179">
        <v>965</v>
      </c>
      <c r="H137" s="179">
        <v>254</v>
      </c>
      <c r="I137" s="179">
        <v>617</v>
      </c>
      <c r="J137" s="179">
        <v>413</v>
      </c>
      <c r="K137" s="179">
        <v>273</v>
      </c>
      <c r="L137" s="179">
        <v>207</v>
      </c>
      <c r="M137" s="179">
        <v>726</v>
      </c>
      <c r="N137" s="179">
        <v>730</v>
      </c>
      <c r="O137" s="179">
        <v>18</v>
      </c>
      <c r="P137" s="179">
        <v>626</v>
      </c>
      <c r="Q137" s="179"/>
      <c r="R137" s="179"/>
      <c r="S137" s="179"/>
      <c r="T137" s="179">
        <f t="shared" si="43"/>
        <v>8486</v>
      </c>
      <c r="U137" s="179">
        <v>1280</v>
      </c>
      <c r="V137" s="179">
        <v>2360</v>
      </c>
      <c r="W137" s="179">
        <v>1998</v>
      </c>
      <c r="X137" s="179"/>
      <c r="Y137" s="179">
        <v>1798</v>
      </c>
      <c r="Z137" s="179">
        <v>0</v>
      </c>
      <c r="AA137" s="179">
        <v>1050</v>
      </c>
      <c r="AB137" s="179"/>
      <c r="AC137" s="149"/>
    </row>
    <row r="138" spans="1:29" ht="15.95" customHeight="1">
      <c r="A138" s="332" t="s">
        <v>1637</v>
      </c>
      <c r="B138" s="347">
        <f t="shared" si="41"/>
        <v>40400</v>
      </c>
      <c r="C138" s="179">
        <v>21667</v>
      </c>
      <c r="D138" s="179">
        <v>11713</v>
      </c>
      <c r="E138" s="179">
        <v>3838</v>
      </c>
      <c r="F138" s="179"/>
      <c r="G138" s="179">
        <v>797</v>
      </c>
      <c r="H138" s="179">
        <v>327</v>
      </c>
      <c r="I138" s="179">
        <v>1113</v>
      </c>
      <c r="J138" s="179">
        <v>577</v>
      </c>
      <c r="K138" s="179">
        <v>270</v>
      </c>
      <c r="L138" s="179">
        <v>379</v>
      </c>
      <c r="M138" s="179">
        <v>317</v>
      </c>
      <c r="N138" s="179">
        <v>1152</v>
      </c>
      <c r="O138" s="179">
        <v>1</v>
      </c>
      <c r="P138" s="179">
        <v>1183</v>
      </c>
      <c r="Q138" s="179">
        <v>0</v>
      </c>
      <c r="R138" s="179">
        <v>0</v>
      </c>
      <c r="S138" s="179">
        <v>0</v>
      </c>
      <c r="T138" s="179">
        <f t="shared" si="43"/>
        <v>18733</v>
      </c>
      <c r="U138" s="179">
        <v>1148</v>
      </c>
      <c r="V138" s="179">
        <v>1129</v>
      </c>
      <c r="W138" s="179">
        <v>8505</v>
      </c>
      <c r="X138" s="179"/>
      <c r="Y138" s="179">
        <v>6604</v>
      </c>
      <c r="Z138" s="179"/>
      <c r="AA138" s="179">
        <v>1347</v>
      </c>
      <c r="AB138" s="179">
        <v>0</v>
      </c>
      <c r="AC138" s="149"/>
    </row>
    <row r="139" spans="1:29" ht="15.95" customHeight="1">
      <c r="A139" s="332" t="s">
        <v>1638</v>
      </c>
      <c r="B139" s="347">
        <f t="shared" si="41"/>
        <v>19100</v>
      </c>
      <c r="C139" s="179">
        <v>9146</v>
      </c>
      <c r="D139" s="179">
        <v>5620</v>
      </c>
      <c r="E139" s="179">
        <v>670</v>
      </c>
      <c r="F139" s="179"/>
      <c r="G139" s="179">
        <v>583</v>
      </c>
      <c r="H139" s="179">
        <v>63</v>
      </c>
      <c r="I139" s="179">
        <v>509</v>
      </c>
      <c r="J139" s="179">
        <v>162</v>
      </c>
      <c r="K139" s="179">
        <v>161</v>
      </c>
      <c r="L139" s="179">
        <v>123</v>
      </c>
      <c r="M139" s="179">
        <v>62</v>
      </c>
      <c r="N139" s="179">
        <v>567</v>
      </c>
      <c r="O139" s="179">
        <v>363</v>
      </c>
      <c r="P139" s="179">
        <v>263</v>
      </c>
      <c r="Q139" s="179"/>
      <c r="R139" s="179"/>
      <c r="S139" s="179"/>
      <c r="T139" s="179">
        <f t="shared" si="43"/>
        <v>9954</v>
      </c>
      <c r="U139" s="179">
        <v>517</v>
      </c>
      <c r="V139" s="179">
        <v>504</v>
      </c>
      <c r="W139" s="179">
        <v>1219</v>
      </c>
      <c r="X139" s="179"/>
      <c r="Y139" s="179">
        <v>4071</v>
      </c>
      <c r="Z139" s="179">
        <v>124</v>
      </c>
      <c r="AA139" s="179">
        <v>401</v>
      </c>
      <c r="AB139" s="179">
        <v>3118</v>
      </c>
      <c r="AC139" s="149"/>
    </row>
    <row r="140" spans="1:29" ht="15.95" customHeight="1">
      <c r="A140" s="332" t="s">
        <v>1639</v>
      </c>
      <c r="B140" s="347">
        <f t="shared" si="41"/>
        <v>30900</v>
      </c>
      <c r="C140" s="179">
        <v>17900</v>
      </c>
      <c r="D140" s="179">
        <v>11646</v>
      </c>
      <c r="E140" s="179">
        <v>1500</v>
      </c>
      <c r="F140" s="179"/>
      <c r="G140" s="179">
        <v>1200</v>
      </c>
      <c r="H140" s="179">
        <v>250</v>
      </c>
      <c r="I140" s="179">
        <v>700</v>
      </c>
      <c r="J140" s="179">
        <v>400</v>
      </c>
      <c r="K140" s="179">
        <v>200</v>
      </c>
      <c r="L140" s="179">
        <v>150</v>
      </c>
      <c r="M140" s="179">
        <v>450</v>
      </c>
      <c r="N140" s="179">
        <v>800</v>
      </c>
      <c r="O140" s="179">
        <v>4</v>
      </c>
      <c r="P140" s="179">
        <v>600</v>
      </c>
      <c r="Q140" s="179"/>
      <c r="R140" s="179"/>
      <c r="S140" s="179"/>
      <c r="T140" s="179">
        <f t="shared" si="43"/>
        <v>13000</v>
      </c>
      <c r="U140" s="179">
        <v>860</v>
      </c>
      <c r="V140" s="179">
        <v>800</v>
      </c>
      <c r="W140" s="179">
        <v>2450</v>
      </c>
      <c r="X140" s="179"/>
      <c r="Y140" s="179">
        <v>8300</v>
      </c>
      <c r="Z140" s="179"/>
      <c r="AA140" s="179">
        <v>590</v>
      </c>
      <c r="AB140" s="179"/>
      <c r="AC140" s="149"/>
    </row>
    <row r="141" spans="1:29" ht="15.95" customHeight="1">
      <c r="A141" s="332" t="s">
        <v>1640</v>
      </c>
      <c r="B141" s="347">
        <f t="shared" si="41"/>
        <v>16000</v>
      </c>
      <c r="C141" s="179">
        <v>13459</v>
      </c>
      <c r="D141" s="179">
        <v>7900</v>
      </c>
      <c r="E141" s="179">
        <v>434</v>
      </c>
      <c r="F141" s="179"/>
      <c r="G141" s="179">
        <v>465</v>
      </c>
      <c r="H141" s="179">
        <v>1500</v>
      </c>
      <c r="I141" s="179">
        <v>800</v>
      </c>
      <c r="J141" s="179">
        <v>200</v>
      </c>
      <c r="K141" s="179">
        <v>300</v>
      </c>
      <c r="L141" s="179">
        <v>70</v>
      </c>
      <c r="M141" s="179">
        <v>300</v>
      </c>
      <c r="N141" s="179">
        <v>250</v>
      </c>
      <c r="O141" s="179">
        <v>480</v>
      </c>
      <c r="P141" s="179">
        <v>760</v>
      </c>
      <c r="Q141" s="179"/>
      <c r="R141" s="179"/>
      <c r="S141" s="179"/>
      <c r="T141" s="179">
        <f t="shared" si="43"/>
        <v>2541</v>
      </c>
      <c r="U141" s="179">
        <v>741</v>
      </c>
      <c r="V141" s="179">
        <v>300</v>
      </c>
      <c r="W141" s="179">
        <v>300</v>
      </c>
      <c r="X141" s="179"/>
      <c r="Y141" s="179">
        <v>500</v>
      </c>
      <c r="Z141" s="179"/>
      <c r="AA141" s="179">
        <v>700</v>
      </c>
      <c r="AB141" s="179"/>
      <c r="AC141" s="149"/>
    </row>
    <row r="142" spans="1:29" s="132" customFormat="1" ht="12">
      <c r="A142" s="330" t="s">
        <v>1734</v>
      </c>
      <c r="B142" s="331">
        <f>SUM(B143:B144)</f>
        <v>505060</v>
      </c>
      <c r="C142" s="331">
        <f t="shared" ref="C142:AB142" si="44">SUM(C143:C144)</f>
        <v>357155</v>
      </c>
      <c r="D142" s="331">
        <f t="shared" si="44"/>
        <v>112583</v>
      </c>
      <c r="E142" s="331">
        <f t="shared" si="44"/>
        <v>30433</v>
      </c>
      <c r="F142" s="331">
        <f t="shared" si="44"/>
        <v>0</v>
      </c>
      <c r="G142" s="331">
        <f t="shared" si="44"/>
        <v>11934</v>
      </c>
      <c r="H142" s="331">
        <f t="shared" si="44"/>
        <v>32710</v>
      </c>
      <c r="I142" s="331">
        <f t="shared" si="44"/>
        <v>14797</v>
      </c>
      <c r="J142" s="331">
        <f t="shared" si="44"/>
        <v>16802</v>
      </c>
      <c r="K142" s="331">
        <f t="shared" si="44"/>
        <v>6126</v>
      </c>
      <c r="L142" s="331">
        <f t="shared" si="44"/>
        <v>87022</v>
      </c>
      <c r="M142" s="331">
        <f t="shared" si="44"/>
        <v>3542</v>
      </c>
      <c r="N142" s="331">
        <f t="shared" si="44"/>
        <v>7514</v>
      </c>
      <c r="O142" s="331">
        <f t="shared" si="44"/>
        <v>23514</v>
      </c>
      <c r="P142" s="331">
        <f t="shared" si="44"/>
        <v>7056</v>
      </c>
      <c r="Q142" s="331">
        <f t="shared" si="44"/>
        <v>0</v>
      </c>
      <c r="R142" s="331">
        <f t="shared" si="44"/>
        <v>3122</v>
      </c>
      <c r="S142" s="331">
        <f t="shared" si="44"/>
        <v>0</v>
      </c>
      <c r="T142" s="331">
        <f t="shared" ref="T142:T147" si="45">SUM(U142:AB142)</f>
        <v>147905</v>
      </c>
      <c r="U142" s="331">
        <f t="shared" si="44"/>
        <v>17355</v>
      </c>
      <c r="V142" s="331">
        <f t="shared" si="44"/>
        <v>24219</v>
      </c>
      <c r="W142" s="331">
        <f t="shared" si="44"/>
        <v>10051</v>
      </c>
      <c r="X142" s="331">
        <f t="shared" si="44"/>
        <v>644</v>
      </c>
      <c r="Y142" s="331">
        <f t="shared" si="44"/>
        <v>86778</v>
      </c>
      <c r="Z142" s="331">
        <f t="shared" si="44"/>
        <v>234</v>
      </c>
      <c r="AA142" s="331">
        <f t="shared" si="44"/>
        <v>4811</v>
      </c>
      <c r="AB142" s="331">
        <f t="shared" si="44"/>
        <v>3813</v>
      </c>
    </row>
    <row r="143" spans="1:29" s="132" customFormat="1" ht="12">
      <c r="A143" s="332" t="s">
        <v>1193</v>
      </c>
      <c r="B143" s="331">
        <v>16900</v>
      </c>
      <c r="C143" s="331">
        <v>3122</v>
      </c>
      <c r="D143" s="331"/>
      <c r="E143" s="331"/>
      <c r="F143" s="331"/>
      <c r="G143" s="331"/>
      <c r="H143" s="331"/>
      <c r="I143" s="331"/>
      <c r="J143" s="331"/>
      <c r="K143" s="331"/>
      <c r="L143" s="331"/>
      <c r="M143" s="331"/>
      <c r="N143" s="331"/>
      <c r="O143" s="331"/>
      <c r="P143" s="331"/>
      <c r="Q143" s="331"/>
      <c r="R143" s="331">
        <v>3122</v>
      </c>
      <c r="S143" s="331"/>
      <c r="T143" s="331">
        <f t="shared" si="45"/>
        <v>13778</v>
      </c>
      <c r="U143" s="331">
        <v>831</v>
      </c>
      <c r="V143" s="331">
        <v>5176</v>
      </c>
      <c r="W143" s="331">
        <v>1286</v>
      </c>
      <c r="X143" s="331"/>
      <c r="Y143" s="331">
        <v>5528</v>
      </c>
      <c r="Z143" s="331"/>
      <c r="AA143" s="331"/>
      <c r="AB143" s="331">
        <v>957</v>
      </c>
    </row>
    <row r="144" spans="1:29" s="132" customFormat="1" ht="12">
      <c r="A144" s="332" t="s">
        <v>1194</v>
      </c>
      <c r="B144" s="331">
        <f>SUM(B145:B147)</f>
        <v>488160</v>
      </c>
      <c r="C144" s="331">
        <f>SUM(C145:C147)</f>
        <v>354033</v>
      </c>
      <c r="D144" s="331">
        <f t="shared" ref="D144:AB144" si="46">SUM(D145:D147)</f>
        <v>112583</v>
      </c>
      <c r="E144" s="331">
        <f t="shared" si="46"/>
        <v>30433</v>
      </c>
      <c r="F144" s="331">
        <f t="shared" si="46"/>
        <v>0</v>
      </c>
      <c r="G144" s="331">
        <f t="shared" si="46"/>
        <v>11934</v>
      </c>
      <c r="H144" s="331">
        <f t="shared" si="46"/>
        <v>32710</v>
      </c>
      <c r="I144" s="331">
        <f t="shared" si="46"/>
        <v>14797</v>
      </c>
      <c r="J144" s="331">
        <f t="shared" si="46"/>
        <v>16802</v>
      </c>
      <c r="K144" s="331">
        <f t="shared" si="46"/>
        <v>6126</v>
      </c>
      <c r="L144" s="331">
        <f t="shared" si="46"/>
        <v>87022</v>
      </c>
      <c r="M144" s="331">
        <f t="shared" si="46"/>
        <v>3542</v>
      </c>
      <c r="N144" s="331">
        <f t="shared" si="46"/>
        <v>7514</v>
      </c>
      <c r="O144" s="331">
        <f t="shared" si="46"/>
        <v>23514</v>
      </c>
      <c r="P144" s="331">
        <f t="shared" si="46"/>
        <v>7056</v>
      </c>
      <c r="Q144" s="331">
        <f t="shared" si="46"/>
        <v>0</v>
      </c>
      <c r="R144" s="331">
        <f t="shared" si="46"/>
        <v>0</v>
      </c>
      <c r="S144" s="331">
        <f t="shared" si="46"/>
        <v>0</v>
      </c>
      <c r="T144" s="331">
        <f t="shared" si="45"/>
        <v>134127</v>
      </c>
      <c r="U144" s="331">
        <f t="shared" si="46"/>
        <v>16524</v>
      </c>
      <c r="V144" s="331">
        <f t="shared" si="46"/>
        <v>19043</v>
      </c>
      <c r="W144" s="331">
        <f t="shared" si="46"/>
        <v>8765</v>
      </c>
      <c r="X144" s="331">
        <f t="shared" si="46"/>
        <v>644</v>
      </c>
      <c r="Y144" s="331">
        <f t="shared" si="46"/>
        <v>81250</v>
      </c>
      <c r="Z144" s="331">
        <f t="shared" si="46"/>
        <v>234</v>
      </c>
      <c r="AA144" s="331">
        <f t="shared" si="46"/>
        <v>4811</v>
      </c>
      <c r="AB144" s="331">
        <f t="shared" si="46"/>
        <v>2856</v>
      </c>
    </row>
    <row r="145" spans="1:28" s="132" customFormat="1" ht="12">
      <c r="A145" s="332" t="s">
        <v>1641</v>
      </c>
      <c r="B145" s="331">
        <f>SUM(C145,T145)</f>
        <v>120883</v>
      </c>
      <c r="C145" s="331">
        <f>SUM(D145:S145)</f>
        <v>78574</v>
      </c>
      <c r="D145" s="331">
        <v>29009</v>
      </c>
      <c r="E145" s="331">
        <v>6030</v>
      </c>
      <c r="F145" s="331">
        <v>0</v>
      </c>
      <c r="G145" s="331">
        <v>3199</v>
      </c>
      <c r="H145" s="331">
        <v>2200</v>
      </c>
      <c r="I145" s="331">
        <v>4973</v>
      </c>
      <c r="J145" s="331">
        <v>3997</v>
      </c>
      <c r="K145" s="331">
        <v>1437</v>
      </c>
      <c r="L145" s="331">
        <v>16715</v>
      </c>
      <c r="M145" s="331">
        <v>2097</v>
      </c>
      <c r="N145" s="331">
        <v>3813</v>
      </c>
      <c r="O145" s="331">
        <v>1700</v>
      </c>
      <c r="P145" s="331">
        <v>3404</v>
      </c>
      <c r="Q145" s="331"/>
      <c r="R145" s="331"/>
      <c r="S145" s="331"/>
      <c r="T145" s="331">
        <f t="shared" si="45"/>
        <v>42309</v>
      </c>
      <c r="U145" s="331">
        <v>7619</v>
      </c>
      <c r="V145" s="331">
        <v>1795</v>
      </c>
      <c r="W145" s="331">
        <v>2544</v>
      </c>
      <c r="X145" s="331">
        <v>0</v>
      </c>
      <c r="Y145" s="331">
        <v>25532</v>
      </c>
      <c r="Z145" s="331">
        <v>0</v>
      </c>
      <c r="AA145" s="331">
        <v>3322</v>
      </c>
      <c r="AB145" s="331">
        <v>1497</v>
      </c>
    </row>
    <row r="146" spans="1:28" s="132" customFormat="1" ht="12">
      <c r="A146" s="332" t="s">
        <v>1642</v>
      </c>
      <c r="B146" s="331">
        <f>SUM(C146,T146)</f>
        <v>184154</v>
      </c>
      <c r="C146" s="331">
        <f>SUM(D146:S146)</f>
        <v>138116</v>
      </c>
      <c r="D146" s="331">
        <v>32923</v>
      </c>
      <c r="E146" s="331">
        <v>9373</v>
      </c>
      <c r="F146" s="331"/>
      <c r="G146" s="331">
        <v>3955</v>
      </c>
      <c r="H146" s="331">
        <v>13935</v>
      </c>
      <c r="I146" s="331">
        <v>4064</v>
      </c>
      <c r="J146" s="331">
        <v>5695</v>
      </c>
      <c r="K146" s="331">
        <v>2445</v>
      </c>
      <c r="L146" s="331">
        <v>60884</v>
      </c>
      <c r="M146" s="331">
        <v>814</v>
      </c>
      <c r="N146" s="331">
        <v>2451</v>
      </c>
      <c r="O146" s="331">
        <v>70</v>
      </c>
      <c r="P146" s="331">
        <v>1507</v>
      </c>
      <c r="Q146" s="331"/>
      <c r="R146" s="331"/>
      <c r="S146" s="331"/>
      <c r="T146" s="331">
        <f t="shared" si="45"/>
        <v>46038</v>
      </c>
      <c r="U146" s="331">
        <v>4057</v>
      </c>
      <c r="V146" s="331">
        <v>1119</v>
      </c>
      <c r="W146" s="331">
        <v>4160</v>
      </c>
      <c r="X146" s="331"/>
      <c r="Y146" s="331">
        <v>35314</v>
      </c>
      <c r="Z146" s="331"/>
      <c r="AA146" s="331">
        <v>35</v>
      </c>
      <c r="AB146" s="331">
        <v>1353</v>
      </c>
    </row>
    <row r="147" spans="1:28" s="132" customFormat="1" ht="12">
      <c r="A147" s="332" t="s">
        <v>1643</v>
      </c>
      <c r="B147" s="331">
        <f>SUM(C147,T147)</f>
        <v>183123</v>
      </c>
      <c r="C147" s="331">
        <f>SUM(D147:S147)</f>
        <v>137343</v>
      </c>
      <c r="D147" s="348">
        <v>50651</v>
      </c>
      <c r="E147" s="348">
        <v>15030</v>
      </c>
      <c r="F147" s="348">
        <v>0</v>
      </c>
      <c r="G147" s="348">
        <v>4780</v>
      </c>
      <c r="H147" s="348">
        <v>16575</v>
      </c>
      <c r="I147" s="348">
        <v>5760</v>
      </c>
      <c r="J147" s="348">
        <v>7110</v>
      </c>
      <c r="K147" s="348">
        <v>2244</v>
      </c>
      <c r="L147" s="348">
        <v>9423</v>
      </c>
      <c r="M147" s="348">
        <v>631</v>
      </c>
      <c r="N147" s="348">
        <v>1250</v>
      </c>
      <c r="O147" s="348">
        <v>21744</v>
      </c>
      <c r="P147" s="348">
        <v>2145</v>
      </c>
      <c r="Q147" s="348">
        <v>0</v>
      </c>
      <c r="R147" s="348">
        <v>0</v>
      </c>
      <c r="S147" s="348">
        <v>0</v>
      </c>
      <c r="T147" s="331">
        <f t="shared" si="45"/>
        <v>45780</v>
      </c>
      <c r="U147" s="348">
        <v>4848</v>
      </c>
      <c r="V147" s="348">
        <v>16129</v>
      </c>
      <c r="W147" s="348">
        <v>2061</v>
      </c>
      <c r="X147" s="348">
        <v>644</v>
      </c>
      <c r="Y147" s="348">
        <v>20404</v>
      </c>
      <c r="Z147" s="348">
        <v>234</v>
      </c>
      <c r="AA147" s="348">
        <v>1454</v>
      </c>
      <c r="AB147" s="348">
        <v>6</v>
      </c>
    </row>
    <row r="148" spans="1:28">
      <c r="A148" s="338" t="s">
        <v>1735</v>
      </c>
      <c r="B148" s="347">
        <f>B149+B150</f>
        <v>523079</v>
      </c>
      <c r="C148" s="347">
        <f t="shared" ref="C148:AB148" si="47">C149+C150</f>
        <v>384095</v>
      </c>
      <c r="D148" s="347">
        <f t="shared" si="47"/>
        <v>156355</v>
      </c>
      <c r="E148" s="347">
        <f t="shared" si="47"/>
        <v>53631</v>
      </c>
      <c r="F148" s="347">
        <f t="shared" si="47"/>
        <v>0</v>
      </c>
      <c r="G148" s="347">
        <f t="shared" si="47"/>
        <v>9709</v>
      </c>
      <c r="H148" s="347">
        <f t="shared" si="47"/>
        <v>43558</v>
      </c>
      <c r="I148" s="347">
        <f t="shared" si="47"/>
        <v>19031</v>
      </c>
      <c r="J148" s="347">
        <f t="shared" si="47"/>
        <v>19450</v>
      </c>
      <c r="K148" s="347">
        <f t="shared" si="47"/>
        <v>9131</v>
      </c>
      <c r="L148" s="347">
        <f t="shared" si="47"/>
        <v>24946</v>
      </c>
      <c r="M148" s="347">
        <f t="shared" si="47"/>
        <v>5176</v>
      </c>
      <c r="N148" s="347">
        <f t="shared" si="47"/>
        <v>7071</v>
      </c>
      <c r="O148" s="347">
        <f t="shared" si="47"/>
        <v>14907</v>
      </c>
      <c r="P148" s="347">
        <f t="shared" si="47"/>
        <v>14053</v>
      </c>
      <c r="Q148" s="347">
        <f t="shared" si="47"/>
        <v>0</v>
      </c>
      <c r="R148" s="347">
        <f t="shared" si="47"/>
        <v>7069</v>
      </c>
      <c r="S148" s="347">
        <f t="shared" si="47"/>
        <v>8</v>
      </c>
      <c r="T148" s="347">
        <f t="shared" si="47"/>
        <v>138984</v>
      </c>
      <c r="U148" s="347">
        <f t="shared" si="47"/>
        <v>22860</v>
      </c>
      <c r="V148" s="347">
        <f t="shared" si="47"/>
        <v>17800</v>
      </c>
      <c r="W148" s="347">
        <f t="shared" si="47"/>
        <v>16956</v>
      </c>
      <c r="X148" s="347">
        <f t="shared" si="47"/>
        <v>20404</v>
      </c>
      <c r="Y148" s="347">
        <f t="shared" si="47"/>
        <v>40693</v>
      </c>
      <c r="Z148" s="347">
        <f t="shared" si="47"/>
        <v>87</v>
      </c>
      <c r="AA148" s="347">
        <f t="shared" si="47"/>
        <v>12856</v>
      </c>
      <c r="AB148" s="347">
        <f t="shared" si="47"/>
        <v>7328</v>
      </c>
    </row>
    <row r="149" spans="1:28">
      <c r="A149" s="332" t="s">
        <v>1193</v>
      </c>
      <c r="B149" s="345">
        <f>C149+T149</f>
        <v>48548</v>
      </c>
      <c r="C149" s="345">
        <f>SUM(D149:S149)</f>
        <v>7069</v>
      </c>
      <c r="D149" s="345"/>
      <c r="E149" s="345"/>
      <c r="F149" s="345"/>
      <c r="G149" s="345"/>
      <c r="H149" s="345"/>
      <c r="I149" s="345"/>
      <c r="J149" s="345"/>
      <c r="K149" s="345"/>
      <c r="L149" s="345"/>
      <c r="M149" s="345"/>
      <c r="N149" s="345"/>
      <c r="O149" s="345"/>
      <c r="P149" s="345"/>
      <c r="Q149" s="345"/>
      <c r="R149" s="345">
        <v>7069</v>
      </c>
      <c r="S149" s="345"/>
      <c r="T149" s="345">
        <f>SUM(U149:AB149)</f>
        <v>41479</v>
      </c>
      <c r="U149" s="345">
        <v>3123</v>
      </c>
      <c r="V149" s="345">
        <v>8281</v>
      </c>
      <c r="W149" s="345">
        <v>5231</v>
      </c>
      <c r="X149" s="345">
        <v>1607</v>
      </c>
      <c r="Y149" s="345">
        <v>9883</v>
      </c>
      <c r="Z149" s="345">
        <v>2</v>
      </c>
      <c r="AA149" s="345">
        <v>10974</v>
      </c>
      <c r="AB149" s="345">
        <v>2378</v>
      </c>
    </row>
    <row r="150" spans="1:28">
      <c r="A150" s="332" t="s">
        <v>1194</v>
      </c>
      <c r="B150" s="345">
        <f>SUM(B151:B153)</f>
        <v>474531</v>
      </c>
      <c r="C150" s="345">
        <f t="shared" ref="C150:AB150" si="48">SUM(C151:C153)</f>
        <v>377026</v>
      </c>
      <c r="D150" s="345">
        <f t="shared" si="48"/>
        <v>156355</v>
      </c>
      <c r="E150" s="345">
        <f t="shared" si="48"/>
        <v>53631</v>
      </c>
      <c r="F150" s="345">
        <f t="shared" si="48"/>
        <v>0</v>
      </c>
      <c r="G150" s="345">
        <f t="shared" si="48"/>
        <v>9709</v>
      </c>
      <c r="H150" s="345">
        <f t="shared" si="48"/>
        <v>43558</v>
      </c>
      <c r="I150" s="345">
        <f t="shared" si="48"/>
        <v>19031</v>
      </c>
      <c r="J150" s="345">
        <f t="shared" si="48"/>
        <v>19450</v>
      </c>
      <c r="K150" s="345">
        <f t="shared" si="48"/>
        <v>9131</v>
      </c>
      <c r="L150" s="345">
        <f t="shared" si="48"/>
        <v>24946</v>
      </c>
      <c r="M150" s="345">
        <f t="shared" si="48"/>
        <v>5176</v>
      </c>
      <c r="N150" s="345">
        <f t="shared" si="48"/>
        <v>7071</v>
      </c>
      <c r="O150" s="345">
        <f t="shared" si="48"/>
        <v>14907</v>
      </c>
      <c r="P150" s="345">
        <f t="shared" si="48"/>
        <v>14053</v>
      </c>
      <c r="Q150" s="345">
        <f t="shared" si="48"/>
        <v>0</v>
      </c>
      <c r="R150" s="345">
        <f t="shared" si="48"/>
        <v>0</v>
      </c>
      <c r="S150" s="345">
        <f t="shared" si="48"/>
        <v>8</v>
      </c>
      <c r="T150" s="345">
        <f t="shared" si="48"/>
        <v>97505</v>
      </c>
      <c r="U150" s="345">
        <f t="shared" si="48"/>
        <v>19737</v>
      </c>
      <c r="V150" s="345">
        <f t="shared" si="48"/>
        <v>9519</v>
      </c>
      <c r="W150" s="345">
        <f t="shared" si="48"/>
        <v>11725</v>
      </c>
      <c r="X150" s="345">
        <f t="shared" si="48"/>
        <v>18797</v>
      </c>
      <c r="Y150" s="345">
        <f t="shared" si="48"/>
        <v>30810</v>
      </c>
      <c r="Z150" s="345">
        <f t="shared" si="48"/>
        <v>85</v>
      </c>
      <c r="AA150" s="345">
        <f t="shared" si="48"/>
        <v>1882</v>
      </c>
      <c r="AB150" s="345">
        <f t="shared" si="48"/>
        <v>4950</v>
      </c>
    </row>
    <row r="151" spans="1:28">
      <c r="A151" s="332" t="s">
        <v>1736</v>
      </c>
      <c r="B151" s="347">
        <f>C151+T151</f>
        <v>324976</v>
      </c>
      <c r="C151" s="347">
        <f>SUM(D151:S151)</f>
        <v>250725</v>
      </c>
      <c r="D151" s="347">
        <v>101248</v>
      </c>
      <c r="E151" s="347">
        <v>35151</v>
      </c>
      <c r="F151" s="347"/>
      <c r="G151" s="347">
        <v>8048</v>
      </c>
      <c r="H151" s="347">
        <v>22902</v>
      </c>
      <c r="I151" s="347">
        <v>12400</v>
      </c>
      <c r="J151" s="347">
        <v>15038</v>
      </c>
      <c r="K151" s="347">
        <v>6612</v>
      </c>
      <c r="L151" s="347">
        <v>18043</v>
      </c>
      <c r="M151" s="347">
        <v>5089</v>
      </c>
      <c r="N151" s="347">
        <v>6529</v>
      </c>
      <c r="O151" s="347">
        <v>6131</v>
      </c>
      <c r="P151" s="347">
        <v>13526</v>
      </c>
      <c r="Q151" s="347"/>
      <c r="R151" s="347"/>
      <c r="S151" s="347">
        <v>8</v>
      </c>
      <c r="T151" s="347">
        <f>SUM(U151:AB151)</f>
        <v>74251</v>
      </c>
      <c r="U151" s="347">
        <v>13573</v>
      </c>
      <c r="V151" s="347">
        <v>4678</v>
      </c>
      <c r="W151" s="347">
        <v>9825</v>
      </c>
      <c r="X151" s="347">
        <v>15704</v>
      </c>
      <c r="Y151" s="347">
        <v>24031</v>
      </c>
      <c r="Z151" s="347">
        <v>85</v>
      </c>
      <c r="AA151" s="347">
        <v>1405</v>
      </c>
      <c r="AB151" s="347">
        <v>4950</v>
      </c>
    </row>
    <row r="152" spans="1:28">
      <c r="A152" s="332" t="s">
        <v>1644</v>
      </c>
      <c r="B152" s="345">
        <f>C152+T152</f>
        <v>64530</v>
      </c>
      <c r="C152" s="349">
        <f>SUM(D152:S152)</f>
        <v>56520</v>
      </c>
      <c r="D152" s="349">
        <v>21150</v>
      </c>
      <c r="E152" s="349">
        <v>10300</v>
      </c>
      <c r="F152" s="350"/>
      <c r="G152" s="349">
        <v>800</v>
      </c>
      <c r="H152" s="349">
        <v>9000</v>
      </c>
      <c r="I152" s="349">
        <v>2500</v>
      </c>
      <c r="J152" s="349">
        <v>1200</v>
      </c>
      <c r="K152" s="349">
        <v>1000</v>
      </c>
      <c r="L152" s="349">
        <v>3800</v>
      </c>
      <c r="M152" s="349">
        <v>80</v>
      </c>
      <c r="N152" s="349">
        <v>400</v>
      </c>
      <c r="O152" s="349">
        <v>6000</v>
      </c>
      <c r="P152" s="349">
        <v>290</v>
      </c>
      <c r="Q152" s="345"/>
      <c r="R152" s="345"/>
      <c r="S152" s="345"/>
      <c r="T152" s="349">
        <f>SUM(U152:AB152)</f>
        <v>8010</v>
      </c>
      <c r="U152" s="349">
        <v>2580</v>
      </c>
      <c r="V152" s="349">
        <v>3600</v>
      </c>
      <c r="W152" s="349">
        <v>1000</v>
      </c>
      <c r="X152" s="349">
        <v>30</v>
      </c>
      <c r="Y152" s="349">
        <v>500</v>
      </c>
      <c r="Z152" s="349"/>
      <c r="AA152" s="349">
        <v>300</v>
      </c>
      <c r="AB152" s="345"/>
    </row>
    <row r="153" spans="1:28">
      <c r="A153" s="332" t="s">
        <v>1737</v>
      </c>
      <c r="B153" s="331">
        <v>85025</v>
      </c>
      <c r="C153" s="331">
        <v>69781</v>
      </c>
      <c r="D153" s="331">
        <v>33957</v>
      </c>
      <c r="E153" s="331">
        <v>8180</v>
      </c>
      <c r="F153" s="331"/>
      <c r="G153" s="331">
        <v>861</v>
      </c>
      <c r="H153" s="331">
        <v>11656</v>
      </c>
      <c r="I153" s="331">
        <v>4131</v>
      </c>
      <c r="J153" s="331">
        <v>3212</v>
      </c>
      <c r="K153" s="331">
        <v>1519</v>
      </c>
      <c r="L153" s="331">
        <v>3103</v>
      </c>
      <c r="M153" s="331">
        <v>7</v>
      </c>
      <c r="N153" s="331">
        <v>142</v>
      </c>
      <c r="O153" s="331">
        <v>2776</v>
      </c>
      <c r="P153" s="331">
        <v>237</v>
      </c>
      <c r="Q153" s="331"/>
      <c r="R153" s="331"/>
      <c r="S153" s="331"/>
      <c r="T153" s="331">
        <v>15244</v>
      </c>
      <c r="U153" s="331">
        <v>3584</v>
      </c>
      <c r="V153" s="331">
        <v>1241</v>
      </c>
      <c r="W153" s="331">
        <v>900</v>
      </c>
      <c r="X153" s="331">
        <v>3063</v>
      </c>
      <c r="Y153" s="331">
        <v>6279</v>
      </c>
      <c r="Z153" s="331"/>
      <c r="AA153" s="331">
        <v>177</v>
      </c>
      <c r="AB153" s="345"/>
    </row>
  </sheetData>
  <mergeCells count="5">
    <mergeCell ref="A2:Z2"/>
    <mergeCell ref="C5:S5"/>
    <mergeCell ref="T5:AB5"/>
    <mergeCell ref="A4:A6"/>
    <mergeCell ref="B5:B6"/>
  </mergeCells>
  <phoneticPr fontId="14" type="noConversion"/>
  <printOptions horizontalCentered="1" verticalCentered="1"/>
  <pageMargins left="0.196850393700787" right="0.196850393700787" top="0.59055118110236204" bottom="0.47244094488188998" header="0.31496062992126" footer="0.31496062992126"/>
  <pageSetup paperSize="9" scale="77" orientation="landscape"/>
</worksheet>
</file>

<file path=xl/worksheets/sheet9.xml><?xml version="1.0" encoding="utf-8"?>
<worksheet xmlns="http://schemas.openxmlformats.org/spreadsheetml/2006/main" xmlns:r="http://schemas.openxmlformats.org/officeDocument/2006/relationships">
  <dimension ref="A1:AB152"/>
  <sheetViews>
    <sheetView showGridLines="0" showZeros="0" topLeftCell="G148" workbookViewId="0">
      <selection activeCell="B8" sqref="B8"/>
    </sheetView>
  </sheetViews>
  <sheetFormatPr defaultColWidth="5.75" defaultRowHeight="13.5"/>
  <cols>
    <col min="1" max="1" width="24.25" style="36" bestFit="1" customWidth="1"/>
    <col min="2" max="2" width="11.25" style="36" bestFit="1" customWidth="1"/>
    <col min="3" max="3" width="10.25" style="36" bestFit="1" customWidth="1"/>
    <col min="4" max="4" width="7.625" style="36" bestFit="1" customWidth="1"/>
    <col min="5" max="7" width="10.25" style="36" bestFit="1" customWidth="1"/>
    <col min="8" max="9" width="8.5" style="36" bestFit="1" customWidth="1"/>
    <col min="10" max="11" width="10.25" style="36" bestFit="1" customWidth="1"/>
    <col min="12" max="12" width="8.5" style="36" bestFit="1" customWidth="1"/>
    <col min="13" max="15" width="10.25" style="36" bestFit="1" customWidth="1"/>
    <col min="16" max="16" width="8.5" style="37" bestFit="1" customWidth="1"/>
    <col min="17" max="17" width="7.625" style="36" bestFit="1" customWidth="1"/>
    <col min="18" max="18" width="6.75" style="36" bestFit="1" customWidth="1"/>
    <col min="19" max="19" width="5.25" style="36" bestFit="1" customWidth="1"/>
    <col min="20" max="21" width="8.5" style="36" bestFit="1" customWidth="1"/>
    <col min="22" max="22" width="7.625" style="36" bestFit="1" customWidth="1"/>
    <col min="23" max="23" width="8.5" style="36" bestFit="1" customWidth="1"/>
    <col min="24" max="24" width="10.25" style="36" bestFit="1" customWidth="1"/>
    <col min="25" max="25" width="6.75" style="36" bestFit="1" customWidth="1"/>
    <col min="26" max="26" width="11" style="36" bestFit="1" customWidth="1"/>
    <col min="27" max="16384" width="5.75" style="36"/>
  </cols>
  <sheetData>
    <row r="1" spans="1:27" ht="14.25">
      <c r="A1" s="26" t="s">
        <v>1195</v>
      </c>
      <c r="B1" s="152"/>
    </row>
    <row r="2" spans="1:27" s="44" customFormat="1" ht="33.950000000000003" customHeight="1">
      <c r="A2" s="353" t="s">
        <v>1162</v>
      </c>
      <c r="B2" s="353" t="s">
        <v>1163</v>
      </c>
      <c r="C2" s="353"/>
      <c r="D2" s="353"/>
      <c r="E2" s="353"/>
      <c r="F2" s="353"/>
      <c r="G2" s="353"/>
      <c r="H2" s="353"/>
      <c r="I2" s="353"/>
      <c r="J2" s="353"/>
      <c r="K2" s="353"/>
      <c r="L2" s="353"/>
      <c r="M2" s="353"/>
      <c r="N2" s="353"/>
      <c r="O2" s="353"/>
      <c r="P2" s="353"/>
      <c r="Q2" s="353"/>
      <c r="R2" s="353"/>
      <c r="S2" s="353"/>
      <c r="T2" s="353"/>
      <c r="U2" s="353"/>
      <c r="V2" s="353"/>
      <c r="W2" s="353"/>
      <c r="X2" s="353"/>
      <c r="Y2" s="353"/>
      <c r="Z2" s="353"/>
      <c r="AA2" s="353"/>
    </row>
    <row r="3" spans="1:27" ht="17.100000000000001" customHeight="1">
      <c r="A3" s="40"/>
      <c r="B3" s="40"/>
      <c r="C3" s="40"/>
      <c r="D3" s="40"/>
      <c r="E3" s="40"/>
      <c r="F3" s="40"/>
      <c r="G3" s="40"/>
      <c r="H3" s="40"/>
      <c r="I3" s="40"/>
      <c r="J3" s="40"/>
      <c r="K3" s="40"/>
      <c r="L3" s="40"/>
      <c r="M3" s="40"/>
      <c r="N3" s="40"/>
      <c r="O3" s="40"/>
      <c r="P3" s="47"/>
      <c r="Q3" s="40"/>
      <c r="R3" s="40"/>
      <c r="S3" s="40"/>
      <c r="T3" s="40"/>
      <c r="U3" s="40"/>
      <c r="V3" s="40"/>
      <c r="W3" s="40"/>
      <c r="X3" s="40"/>
      <c r="Y3" s="40"/>
      <c r="Z3" s="40" t="s">
        <v>22</v>
      </c>
    </row>
    <row r="4" spans="1:27" ht="31.5" customHeight="1">
      <c r="A4" s="371" t="s">
        <v>1164</v>
      </c>
      <c r="B4" s="45" t="s">
        <v>1196</v>
      </c>
      <c r="C4" s="45"/>
      <c r="D4" s="45"/>
      <c r="E4" s="45"/>
      <c r="F4" s="45"/>
      <c r="G4" s="45"/>
      <c r="H4" s="45"/>
      <c r="I4" s="45"/>
      <c r="J4" s="45"/>
      <c r="K4" s="45"/>
      <c r="L4" s="45"/>
      <c r="M4" s="45"/>
      <c r="N4" s="45"/>
      <c r="O4" s="45"/>
      <c r="P4" s="48"/>
      <c r="Q4" s="45"/>
      <c r="R4" s="45"/>
      <c r="S4" s="45"/>
      <c r="T4" s="45"/>
      <c r="U4" s="45"/>
      <c r="V4" s="45"/>
      <c r="W4" s="45"/>
      <c r="X4" s="45"/>
      <c r="Y4" s="45"/>
      <c r="Z4" s="45"/>
    </row>
    <row r="5" spans="1:27" ht="78.75" customHeight="1">
      <c r="A5" s="372"/>
      <c r="B5" s="46" t="s">
        <v>1197</v>
      </c>
      <c r="C5" s="41" t="s">
        <v>1198</v>
      </c>
      <c r="D5" s="41" t="s">
        <v>1199</v>
      </c>
      <c r="E5" s="41" t="s">
        <v>1200</v>
      </c>
      <c r="F5" s="41" t="s">
        <v>1201</v>
      </c>
      <c r="G5" s="41" t="s">
        <v>1202</v>
      </c>
      <c r="H5" s="41" t="s">
        <v>1203</v>
      </c>
      <c r="I5" s="41" t="s">
        <v>1204</v>
      </c>
      <c r="J5" s="41" t="s">
        <v>1205</v>
      </c>
      <c r="K5" s="41" t="s">
        <v>1206</v>
      </c>
      <c r="L5" s="41" t="s">
        <v>1207</v>
      </c>
      <c r="M5" s="41" t="s">
        <v>1208</v>
      </c>
      <c r="N5" s="41" t="s">
        <v>1209</v>
      </c>
      <c r="O5" s="41" t="s">
        <v>1210</v>
      </c>
      <c r="P5" s="41" t="s">
        <v>1211</v>
      </c>
      <c r="Q5" s="41" t="s">
        <v>1212</v>
      </c>
      <c r="R5" s="41" t="s">
        <v>1213</v>
      </c>
      <c r="S5" s="41" t="s">
        <v>1214</v>
      </c>
      <c r="T5" s="46" t="s">
        <v>1215</v>
      </c>
      <c r="U5" s="46" t="s">
        <v>1216</v>
      </c>
      <c r="V5" s="49" t="s">
        <v>1217</v>
      </c>
      <c r="W5" s="46" t="s">
        <v>1218</v>
      </c>
      <c r="X5" s="41" t="s">
        <v>1219</v>
      </c>
      <c r="Y5" s="41" t="s">
        <v>1220</v>
      </c>
      <c r="Z5" s="41" t="s">
        <v>1221</v>
      </c>
    </row>
    <row r="6" spans="1:27" ht="15.95" customHeight="1">
      <c r="A6" s="158" t="s">
        <v>1645</v>
      </c>
      <c r="B6" s="181">
        <f>SUM(C6:Z6)</f>
        <v>44449209</v>
      </c>
      <c r="C6" s="181">
        <v>4085493</v>
      </c>
      <c r="D6" s="181">
        <v>420</v>
      </c>
      <c r="E6" s="181">
        <v>31006</v>
      </c>
      <c r="F6" s="181">
        <v>3792548</v>
      </c>
      <c r="G6" s="181">
        <v>7755790</v>
      </c>
      <c r="H6" s="181">
        <v>288318</v>
      </c>
      <c r="I6" s="181">
        <v>692324</v>
      </c>
      <c r="J6" s="181">
        <v>6172238</v>
      </c>
      <c r="K6" s="181">
        <v>3436121</v>
      </c>
      <c r="L6" s="181">
        <v>623455</v>
      </c>
      <c r="M6" s="181">
        <v>1930114</v>
      </c>
      <c r="N6" s="181">
        <v>7077318</v>
      </c>
      <c r="O6" s="181">
        <v>2543762</v>
      </c>
      <c r="P6" s="182">
        <v>795167</v>
      </c>
      <c r="Q6" s="181">
        <v>219947</v>
      </c>
      <c r="R6" s="181">
        <v>4384</v>
      </c>
      <c r="S6" s="181">
        <v>0</v>
      </c>
      <c r="T6" s="181">
        <v>249453</v>
      </c>
      <c r="U6" s="181">
        <v>905761</v>
      </c>
      <c r="V6" s="181">
        <v>119557</v>
      </c>
      <c r="W6" s="181">
        <v>166239</v>
      </c>
      <c r="X6" s="181">
        <v>1604226</v>
      </c>
      <c r="Y6" s="181">
        <v>3406</v>
      </c>
      <c r="Z6" s="181">
        <v>1952162</v>
      </c>
    </row>
    <row r="7" spans="1:27" ht="15.95" customHeight="1">
      <c r="A7" s="158" t="s">
        <v>1668</v>
      </c>
      <c r="B7" s="181">
        <v>10802886</v>
      </c>
      <c r="C7" s="181">
        <v>522483</v>
      </c>
      <c r="D7" s="181">
        <v>420</v>
      </c>
      <c r="E7" s="181">
        <v>5385</v>
      </c>
      <c r="F7" s="181">
        <v>685933</v>
      </c>
      <c r="G7" s="181">
        <v>819478</v>
      </c>
      <c r="H7" s="181">
        <v>97895</v>
      </c>
      <c r="I7" s="181">
        <v>212483</v>
      </c>
      <c r="J7" s="181">
        <v>2205293</v>
      </c>
      <c r="K7" s="181">
        <v>373180</v>
      </c>
      <c r="L7" s="181">
        <v>143665</v>
      </c>
      <c r="M7" s="181">
        <v>4047</v>
      </c>
      <c r="N7" s="181">
        <v>2046427</v>
      </c>
      <c r="O7" s="181">
        <v>1427679</v>
      </c>
      <c r="P7" s="181">
        <v>215119</v>
      </c>
      <c r="Q7" s="181">
        <v>159856</v>
      </c>
      <c r="R7" s="181">
        <v>3278</v>
      </c>
      <c r="S7" s="181">
        <v>0</v>
      </c>
      <c r="T7" s="181">
        <v>83823</v>
      </c>
      <c r="U7" s="181">
        <v>83799</v>
      </c>
      <c r="V7" s="181">
        <v>45770</v>
      </c>
      <c r="W7" s="181">
        <v>39516</v>
      </c>
      <c r="X7" s="181">
        <v>465490</v>
      </c>
      <c r="Y7" s="181">
        <v>1700</v>
      </c>
      <c r="Z7" s="181">
        <v>1160167</v>
      </c>
    </row>
    <row r="8" spans="1:27" s="128" customFormat="1" ht="15.95" customHeight="1">
      <c r="A8" s="159" t="s">
        <v>1669</v>
      </c>
      <c r="B8" s="156">
        <f>SUM(B9,B21,B28,B43,B53,B63,B70,B82,B95,B108,B115,B130,B141,B147)</f>
        <v>33646323</v>
      </c>
      <c r="C8" s="156">
        <f t="shared" ref="C8:Z8" si="0">SUM(C9,C21,C28,C43,C53,C63,C70,C82,C95,C108,C115,C130,C141,C147)</f>
        <v>3563010</v>
      </c>
      <c r="D8" s="156">
        <f t="shared" si="0"/>
        <v>0</v>
      </c>
      <c r="E8" s="156">
        <f t="shared" si="0"/>
        <v>25621</v>
      </c>
      <c r="F8" s="156">
        <f t="shared" si="0"/>
        <v>3106615</v>
      </c>
      <c r="G8" s="156">
        <f t="shared" si="0"/>
        <v>6936312</v>
      </c>
      <c r="H8" s="156">
        <f t="shared" si="0"/>
        <v>190423</v>
      </c>
      <c r="I8" s="156">
        <f t="shared" si="0"/>
        <v>479841</v>
      </c>
      <c r="J8" s="156">
        <f t="shared" si="0"/>
        <v>3966945</v>
      </c>
      <c r="K8" s="156">
        <f t="shared" si="0"/>
        <v>3062941</v>
      </c>
      <c r="L8" s="156">
        <f t="shared" si="0"/>
        <v>479790</v>
      </c>
      <c r="M8" s="156">
        <f t="shared" si="0"/>
        <v>1926067</v>
      </c>
      <c r="N8" s="156">
        <f t="shared" si="0"/>
        <v>5030891</v>
      </c>
      <c r="O8" s="156">
        <f t="shared" si="0"/>
        <v>1116083</v>
      </c>
      <c r="P8" s="156">
        <f t="shared" si="0"/>
        <v>580048</v>
      </c>
      <c r="Q8" s="156">
        <f t="shared" si="0"/>
        <v>60091</v>
      </c>
      <c r="R8" s="156">
        <f t="shared" si="0"/>
        <v>1106</v>
      </c>
      <c r="S8" s="156">
        <f t="shared" si="0"/>
        <v>0</v>
      </c>
      <c r="T8" s="156">
        <f t="shared" si="0"/>
        <v>165630</v>
      </c>
      <c r="U8" s="156">
        <f t="shared" si="0"/>
        <v>821962</v>
      </c>
      <c r="V8" s="156">
        <f t="shared" si="0"/>
        <v>73787</v>
      </c>
      <c r="W8" s="156">
        <f t="shared" si="0"/>
        <v>126723</v>
      </c>
      <c r="X8" s="156">
        <f t="shared" si="0"/>
        <v>1138736</v>
      </c>
      <c r="Y8" s="156">
        <f t="shared" si="0"/>
        <v>1706</v>
      </c>
      <c r="Z8" s="156">
        <f t="shared" si="0"/>
        <v>791995</v>
      </c>
      <c r="AA8" s="127"/>
    </row>
    <row r="9" spans="1:27" s="128" customFormat="1" ht="15.95" customHeight="1">
      <c r="A9" s="160" t="s">
        <v>1550</v>
      </c>
      <c r="B9" s="172">
        <f t="shared" ref="B9:B13" si="1">SUM(C9:Z9)</f>
        <v>4869295</v>
      </c>
      <c r="C9" s="173">
        <f t="shared" ref="C9:Z9" si="2">SUM(C10:C11)</f>
        <v>419805</v>
      </c>
      <c r="D9" s="173">
        <f t="shared" si="2"/>
        <v>0</v>
      </c>
      <c r="E9" s="173">
        <f t="shared" si="2"/>
        <v>1860</v>
      </c>
      <c r="F9" s="173">
        <f t="shared" si="2"/>
        <v>453554</v>
      </c>
      <c r="G9" s="173">
        <f t="shared" si="2"/>
        <v>726240</v>
      </c>
      <c r="H9" s="173">
        <f t="shared" si="2"/>
        <v>81233</v>
      </c>
      <c r="I9" s="173">
        <f t="shared" si="2"/>
        <v>94738</v>
      </c>
      <c r="J9" s="173">
        <f t="shared" si="2"/>
        <v>769861</v>
      </c>
      <c r="K9" s="173">
        <f t="shared" si="2"/>
        <v>253287</v>
      </c>
      <c r="L9" s="173">
        <f t="shared" si="2"/>
        <v>75634</v>
      </c>
      <c r="M9" s="173">
        <f t="shared" si="2"/>
        <v>673826</v>
      </c>
      <c r="N9" s="173">
        <f t="shared" si="2"/>
        <v>226384</v>
      </c>
      <c r="O9" s="173">
        <f t="shared" si="2"/>
        <v>165809</v>
      </c>
      <c r="P9" s="173">
        <f t="shared" si="2"/>
        <v>225758</v>
      </c>
      <c r="Q9" s="173">
        <f t="shared" si="2"/>
        <v>13873</v>
      </c>
      <c r="R9" s="173">
        <f t="shared" si="2"/>
        <v>19</v>
      </c>
      <c r="S9" s="173">
        <f t="shared" si="2"/>
        <v>0</v>
      </c>
      <c r="T9" s="173">
        <f t="shared" si="2"/>
        <v>20356</v>
      </c>
      <c r="U9" s="173">
        <f t="shared" si="2"/>
        <v>126358</v>
      </c>
      <c r="V9" s="173">
        <f t="shared" si="2"/>
        <v>10198</v>
      </c>
      <c r="W9" s="173">
        <f t="shared" si="2"/>
        <v>13896</v>
      </c>
      <c r="X9" s="173">
        <f t="shared" si="2"/>
        <v>407730</v>
      </c>
      <c r="Y9" s="173">
        <f t="shared" si="2"/>
        <v>150</v>
      </c>
      <c r="Z9" s="173">
        <f t="shared" si="2"/>
        <v>108726</v>
      </c>
      <c r="AA9" s="127"/>
    </row>
    <row r="10" spans="1:27" s="128" customFormat="1" ht="15.95" customHeight="1">
      <c r="A10" s="166" t="s">
        <v>1193</v>
      </c>
      <c r="B10" s="172">
        <f t="shared" si="1"/>
        <v>2898183</v>
      </c>
      <c r="C10" s="173">
        <v>64181</v>
      </c>
      <c r="D10" s="173"/>
      <c r="E10" s="173">
        <v>697</v>
      </c>
      <c r="F10" s="173">
        <v>257424</v>
      </c>
      <c r="G10" s="173">
        <v>298404</v>
      </c>
      <c r="H10" s="173">
        <v>42383</v>
      </c>
      <c r="I10" s="173">
        <v>86438</v>
      </c>
      <c r="J10" s="173">
        <v>336574</v>
      </c>
      <c r="K10" s="173">
        <v>159742</v>
      </c>
      <c r="L10" s="173">
        <v>64796</v>
      </c>
      <c r="M10" s="173">
        <v>510755</v>
      </c>
      <c r="N10" s="173">
        <v>135829</v>
      </c>
      <c r="O10" s="173">
        <v>164197</v>
      </c>
      <c r="P10" s="173">
        <v>219724</v>
      </c>
      <c r="Q10" s="173">
        <v>13555</v>
      </c>
      <c r="R10" s="173"/>
      <c r="S10" s="173"/>
      <c r="T10" s="173">
        <v>17853</v>
      </c>
      <c r="U10" s="173">
        <v>126202</v>
      </c>
      <c r="V10" s="173">
        <v>10000</v>
      </c>
      <c r="W10" s="173">
        <v>5127</v>
      </c>
      <c r="X10" s="173">
        <v>344802</v>
      </c>
      <c r="Y10" s="173"/>
      <c r="Z10" s="173">
        <v>39500</v>
      </c>
      <c r="AA10" s="127"/>
    </row>
    <row r="11" spans="1:27" s="128" customFormat="1" ht="15.95" customHeight="1">
      <c r="A11" s="166" t="s">
        <v>1551</v>
      </c>
      <c r="B11" s="172">
        <f t="shared" si="1"/>
        <v>1971112</v>
      </c>
      <c r="C11" s="173">
        <f>SUM(C12:C20)</f>
        <v>355624</v>
      </c>
      <c r="D11" s="173">
        <f t="shared" ref="D11:Z11" si="3">SUM(D12:D20)</f>
        <v>0</v>
      </c>
      <c r="E11" s="173">
        <f t="shared" si="3"/>
        <v>1163</v>
      </c>
      <c r="F11" s="173">
        <f t="shared" si="3"/>
        <v>196130</v>
      </c>
      <c r="G11" s="173">
        <f t="shared" si="3"/>
        <v>427836</v>
      </c>
      <c r="H11" s="173">
        <f t="shared" si="3"/>
        <v>38850</v>
      </c>
      <c r="I11" s="173">
        <f t="shared" si="3"/>
        <v>8300</v>
      </c>
      <c r="J11" s="173">
        <f t="shared" si="3"/>
        <v>433287</v>
      </c>
      <c r="K11" s="173">
        <f t="shared" si="3"/>
        <v>93545</v>
      </c>
      <c r="L11" s="173">
        <f t="shared" si="3"/>
        <v>10838</v>
      </c>
      <c r="M11" s="173">
        <f t="shared" si="3"/>
        <v>163071</v>
      </c>
      <c r="N11" s="173">
        <f t="shared" si="3"/>
        <v>90555</v>
      </c>
      <c r="O11" s="173">
        <f t="shared" si="3"/>
        <v>1612</v>
      </c>
      <c r="P11" s="173">
        <f t="shared" si="3"/>
        <v>6034</v>
      </c>
      <c r="Q11" s="173">
        <f t="shared" si="3"/>
        <v>318</v>
      </c>
      <c r="R11" s="173">
        <f t="shared" si="3"/>
        <v>19</v>
      </c>
      <c r="S11" s="173">
        <f t="shared" si="3"/>
        <v>0</v>
      </c>
      <c r="T11" s="173">
        <f t="shared" si="3"/>
        <v>2503</v>
      </c>
      <c r="U11" s="173">
        <f t="shared" si="3"/>
        <v>156</v>
      </c>
      <c r="V11" s="173">
        <f t="shared" si="3"/>
        <v>198</v>
      </c>
      <c r="W11" s="173">
        <f t="shared" si="3"/>
        <v>8769</v>
      </c>
      <c r="X11" s="173">
        <f t="shared" si="3"/>
        <v>62928</v>
      </c>
      <c r="Y11" s="173">
        <f t="shared" si="3"/>
        <v>150</v>
      </c>
      <c r="Z11" s="173">
        <f t="shared" si="3"/>
        <v>69226</v>
      </c>
      <c r="AA11" s="127"/>
    </row>
    <row r="12" spans="1:27" s="128" customFormat="1" ht="15.95" customHeight="1">
      <c r="A12" s="166" t="s">
        <v>1552</v>
      </c>
      <c r="B12" s="173">
        <f t="shared" si="1"/>
        <v>107088</v>
      </c>
      <c r="C12" s="173">
        <v>18937</v>
      </c>
      <c r="D12" s="173"/>
      <c r="E12" s="173"/>
      <c r="F12" s="173">
        <v>9514</v>
      </c>
      <c r="G12" s="173">
        <v>16890</v>
      </c>
      <c r="H12" s="173">
        <v>761</v>
      </c>
      <c r="I12" s="173">
        <v>1131</v>
      </c>
      <c r="J12" s="173">
        <v>28577</v>
      </c>
      <c r="K12" s="173">
        <v>4945</v>
      </c>
      <c r="L12" s="173"/>
      <c r="M12" s="173">
        <v>2353</v>
      </c>
      <c r="N12" s="173">
        <v>9133</v>
      </c>
      <c r="O12" s="173">
        <v>925</v>
      </c>
      <c r="P12" s="173"/>
      <c r="Q12" s="173">
        <v>87</v>
      </c>
      <c r="R12" s="173"/>
      <c r="S12" s="173"/>
      <c r="T12" s="173">
        <v>919</v>
      </c>
      <c r="U12" s="173"/>
      <c r="V12" s="173"/>
      <c r="W12" s="173">
        <v>414</v>
      </c>
      <c r="X12" s="173">
        <v>783</v>
      </c>
      <c r="Y12" s="173"/>
      <c r="Z12" s="173">
        <v>11719</v>
      </c>
      <c r="AA12" s="127"/>
    </row>
    <row r="13" spans="1:27" s="128" customFormat="1" ht="15.95" customHeight="1">
      <c r="A13" s="166" t="s">
        <v>1553</v>
      </c>
      <c r="B13" s="173">
        <f t="shared" si="1"/>
        <v>196025</v>
      </c>
      <c r="C13" s="173">
        <v>28424</v>
      </c>
      <c r="D13" s="173"/>
      <c r="E13" s="173">
        <v>120</v>
      </c>
      <c r="F13" s="173">
        <v>12190</v>
      </c>
      <c r="G13" s="173">
        <v>61151</v>
      </c>
      <c r="H13" s="173">
        <v>3148</v>
      </c>
      <c r="I13" s="173">
        <v>521</v>
      </c>
      <c r="J13" s="173">
        <v>65420</v>
      </c>
      <c r="K13" s="173">
        <v>7575</v>
      </c>
      <c r="L13" s="173"/>
      <c r="M13" s="173">
        <v>12354</v>
      </c>
      <c r="N13" s="173">
        <v>2565</v>
      </c>
      <c r="O13" s="173"/>
      <c r="P13" s="173"/>
      <c r="Q13" s="173"/>
      <c r="R13" s="173"/>
      <c r="S13" s="173"/>
      <c r="T13" s="173"/>
      <c r="U13" s="173"/>
      <c r="V13" s="173"/>
      <c r="W13" s="173">
        <v>257</v>
      </c>
      <c r="X13" s="173"/>
      <c r="Y13" s="173"/>
      <c r="Z13" s="173">
        <v>2300</v>
      </c>
      <c r="AA13" s="127"/>
    </row>
    <row r="14" spans="1:27" s="127" customFormat="1" ht="15.95" customHeight="1">
      <c r="A14" s="166" t="s">
        <v>1554</v>
      </c>
      <c r="B14" s="173">
        <f>SUM(C14:Z14)</f>
        <v>202398</v>
      </c>
      <c r="C14" s="173">
        <v>51915</v>
      </c>
      <c r="D14" s="173"/>
      <c r="E14" s="173"/>
      <c r="F14" s="173">
        <v>5729</v>
      </c>
      <c r="G14" s="173">
        <v>56618</v>
      </c>
      <c r="H14" s="173">
        <v>195</v>
      </c>
      <c r="I14" s="173">
        <v>615</v>
      </c>
      <c r="J14" s="173">
        <v>49972</v>
      </c>
      <c r="K14" s="173">
        <v>7581</v>
      </c>
      <c r="L14" s="173"/>
      <c r="M14" s="173">
        <v>10900</v>
      </c>
      <c r="N14" s="173">
        <v>2263</v>
      </c>
      <c r="O14" s="173"/>
      <c r="P14" s="173"/>
      <c r="Q14" s="173"/>
      <c r="R14" s="173"/>
      <c r="S14" s="173"/>
      <c r="T14" s="173"/>
      <c r="U14" s="173"/>
      <c r="V14" s="173"/>
      <c r="W14" s="173">
        <v>284</v>
      </c>
      <c r="X14" s="173">
        <v>13826</v>
      </c>
      <c r="Y14" s="173"/>
      <c r="Z14" s="173">
        <v>2500</v>
      </c>
    </row>
    <row r="15" spans="1:27" s="127" customFormat="1" ht="15.95" customHeight="1">
      <c r="A15" s="166" t="s">
        <v>1555</v>
      </c>
      <c r="B15" s="173">
        <v>273035</v>
      </c>
      <c r="C15" s="173">
        <v>26330</v>
      </c>
      <c r="D15" s="173"/>
      <c r="E15" s="173">
        <v>90</v>
      </c>
      <c r="F15" s="173">
        <v>32690</v>
      </c>
      <c r="G15" s="173">
        <v>50200</v>
      </c>
      <c r="H15" s="173">
        <v>4620</v>
      </c>
      <c r="I15" s="173">
        <v>2120</v>
      </c>
      <c r="J15" s="173">
        <v>63830</v>
      </c>
      <c r="K15" s="173">
        <v>19270</v>
      </c>
      <c r="L15" s="173">
        <v>380</v>
      </c>
      <c r="M15" s="173">
        <v>56145</v>
      </c>
      <c r="N15" s="173">
        <v>3830</v>
      </c>
      <c r="O15" s="173"/>
      <c r="P15" s="173">
        <v>60</v>
      </c>
      <c r="Q15" s="173"/>
      <c r="R15" s="173"/>
      <c r="S15" s="173"/>
      <c r="T15" s="173"/>
      <c r="U15" s="173"/>
      <c r="V15" s="173"/>
      <c r="W15" s="173">
        <v>2600</v>
      </c>
      <c r="X15" s="173">
        <v>2870</v>
      </c>
      <c r="Y15" s="173"/>
      <c r="Z15" s="173">
        <v>8000</v>
      </c>
    </row>
    <row r="16" spans="1:27" s="127" customFormat="1" ht="15.95" customHeight="1">
      <c r="A16" s="166" t="s">
        <v>1556</v>
      </c>
      <c r="B16" s="173">
        <v>361277</v>
      </c>
      <c r="C16" s="173">
        <v>50904</v>
      </c>
      <c r="D16" s="173"/>
      <c r="E16" s="173">
        <v>236</v>
      </c>
      <c r="F16" s="173">
        <v>21004</v>
      </c>
      <c r="G16" s="173">
        <v>86734</v>
      </c>
      <c r="H16" s="173">
        <v>9318</v>
      </c>
      <c r="I16" s="173">
        <v>2180</v>
      </c>
      <c r="J16" s="173">
        <v>92386</v>
      </c>
      <c r="K16" s="173">
        <v>17573</v>
      </c>
      <c r="L16" s="173">
        <v>56</v>
      </c>
      <c r="M16" s="173">
        <v>14185</v>
      </c>
      <c r="N16" s="173">
        <v>50678</v>
      </c>
      <c r="O16" s="173">
        <v>556</v>
      </c>
      <c r="P16" s="173"/>
      <c r="Q16" s="173">
        <v>193</v>
      </c>
      <c r="R16" s="173"/>
      <c r="S16" s="173"/>
      <c r="T16" s="173">
        <v>1480</v>
      </c>
      <c r="U16" s="173"/>
      <c r="V16" s="173">
        <v>198</v>
      </c>
      <c r="W16" s="173">
        <v>1303</v>
      </c>
      <c r="X16" s="173">
        <v>5293</v>
      </c>
      <c r="Y16" s="173"/>
      <c r="Z16" s="173">
        <v>7000</v>
      </c>
    </row>
    <row r="17" spans="1:26" s="127" customFormat="1" ht="15.95" customHeight="1">
      <c r="A17" s="166" t="s">
        <v>1557</v>
      </c>
      <c r="B17" s="173">
        <v>55300</v>
      </c>
      <c r="C17" s="173">
        <v>16804</v>
      </c>
      <c r="D17" s="173"/>
      <c r="E17" s="173"/>
      <c r="F17" s="173">
        <v>10886</v>
      </c>
      <c r="G17" s="173">
        <v>7858</v>
      </c>
      <c r="H17" s="173">
        <v>99</v>
      </c>
      <c r="I17" s="173">
        <v>551</v>
      </c>
      <c r="J17" s="173">
        <v>6450</v>
      </c>
      <c r="K17" s="173">
        <v>2581</v>
      </c>
      <c r="L17" s="173">
        <v>24</v>
      </c>
      <c r="M17" s="173">
        <v>1932</v>
      </c>
      <c r="N17" s="173">
        <v>2915</v>
      </c>
      <c r="O17" s="173">
        <v>131</v>
      </c>
      <c r="P17" s="173"/>
      <c r="Q17" s="173">
        <v>38</v>
      </c>
      <c r="R17" s="173"/>
      <c r="S17" s="173"/>
      <c r="T17" s="173">
        <v>88</v>
      </c>
      <c r="U17" s="173"/>
      <c r="V17" s="173"/>
      <c r="W17" s="173">
        <v>483</v>
      </c>
      <c r="X17" s="173"/>
      <c r="Y17" s="173"/>
      <c r="Z17" s="173">
        <v>4460</v>
      </c>
    </row>
    <row r="18" spans="1:26" s="127" customFormat="1" ht="15.95" customHeight="1">
      <c r="A18" s="166" t="s">
        <v>1558</v>
      </c>
      <c r="B18" s="173">
        <f>SUM(C18:Z18)</f>
        <v>395866</v>
      </c>
      <c r="C18" s="173">
        <v>61650</v>
      </c>
      <c r="D18" s="173">
        <f>SUM(D20:D26)</f>
        <v>0</v>
      </c>
      <c r="E18" s="173">
        <f>SUM(E20:E26)</f>
        <v>517</v>
      </c>
      <c r="F18" s="173">
        <v>85122</v>
      </c>
      <c r="G18" s="173">
        <v>76985</v>
      </c>
      <c r="H18" s="173">
        <v>709</v>
      </c>
      <c r="I18" s="173">
        <v>662</v>
      </c>
      <c r="J18" s="173">
        <v>57435</v>
      </c>
      <c r="K18" s="173">
        <v>27671</v>
      </c>
      <c r="L18" s="173">
        <v>963</v>
      </c>
      <c r="M18" s="173">
        <v>44398</v>
      </c>
      <c r="N18" s="173">
        <v>12371</v>
      </c>
      <c r="O18" s="173">
        <v>0</v>
      </c>
      <c r="P18" s="173">
        <v>274</v>
      </c>
      <c r="Q18" s="173"/>
      <c r="R18" s="173">
        <v>19</v>
      </c>
      <c r="S18" s="173"/>
      <c r="T18" s="173"/>
      <c r="U18" s="173"/>
      <c r="V18" s="173"/>
      <c r="W18" s="173">
        <v>574</v>
      </c>
      <c r="X18" s="173">
        <v>4656</v>
      </c>
      <c r="Y18" s="173"/>
      <c r="Z18" s="173">
        <v>21860</v>
      </c>
    </row>
    <row r="19" spans="1:26" s="129" customFormat="1" ht="15.95" customHeight="1">
      <c r="A19" s="166" t="s">
        <v>1559</v>
      </c>
      <c r="B19" s="173">
        <f>SUM(C19:Z19)</f>
        <v>332800</v>
      </c>
      <c r="C19" s="173">
        <v>84700</v>
      </c>
      <c r="D19" s="173"/>
      <c r="E19" s="173">
        <v>200</v>
      </c>
      <c r="F19" s="173">
        <v>15000</v>
      </c>
      <c r="G19" s="173">
        <v>69000</v>
      </c>
      <c r="H19" s="173">
        <v>17000</v>
      </c>
      <c r="I19" s="173">
        <v>500</v>
      </c>
      <c r="J19" s="173">
        <f>68000-900</f>
        <v>67100</v>
      </c>
      <c r="K19" s="173">
        <v>6000</v>
      </c>
      <c r="L19" s="173">
        <v>1500</v>
      </c>
      <c r="M19" s="173">
        <f>12650</f>
        <v>12650</v>
      </c>
      <c r="N19" s="173">
        <f>6800</f>
        <v>6800</v>
      </c>
      <c r="O19" s="173"/>
      <c r="P19" s="173">
        <f>4700</f>
        <v>4700</v>
      </c>
      <c r="Q19" s="173"/>
      <c r="R19" s="173"/>
      <c r="S19" s="173"/>
      <c r="T19" s="173"/>
      <c r="U19" s="173"/>
      <c r="V19" s="173"/>
      <c r="W19" s="173">
        <v>2000</v>
      </c>
      <c r="X19" s="173">
        <v>35500</v>
      </c>
      <c r="Y19" s="173">
        <v>150</v>
      </c>
      <c r="Z19" s="173">
        <v>10000</v>
      </c>
    </row>
    <row r="20" spans="1:26" s="132" customFormat="1" ht="15.95" customHeight="1">
      <c r="A20" s="166" t="s">
        <v>1560</v>
      </c>
      <c r="B20" s="173">
        <f>SUM(C20:Z20)</f>
        <v>47323</v>
      </c>
      <c r="C20" s="173">
        <v>15960</v>
      </c>
      <c r="D20" s="173"/>
      <c r="E20" s="173"/>
      <c r="F20" s="173">
        <v>3995</v>
      </c>
      <c r="G20" s="173">
        <v>2400</v>
      </c>
      <c r="H20" s="173">
        <v>3000</v>
      </c>
      <c r="I20" s="173">
        <v>20</v>
      </c>
      <c r="J20" s="173">
        <v>2117</v>
      </c>
      <c r="K20" s="173">
        <v>349</v>
      </c>
      <c r="L20" s="173">
        <v>7915</v>
      </c>
      <c r="M20" s="173">
        <v>8154</v>
      </c>
      <c r="N20" s="173"/>
      <c r="O20" s="173"/>
      <c r="P20" s="173">
        <v>1000</v>
      </c>
      <c r="Q20" s="173"/>
      <c r="R20" s="173"/>
      <c r="S20" s="173"/>
      <c r="T20" s="173">
        <v>16</v>
      </c>
      <c r="U20" s="173">
        <v>156</v>
      </c>
      <c r="V20" s="173"/>
      <c r="W20" s="173">
        <v>854</v>
      </c>
      <c r="X20" s="173"/>
      <c r="Y20" s="173"/>
      <c r="Z20" s="173">
        <v>1387</v>
      </c>
    </row>
    <row r="21" spans="1:26" s="132" customFormat="1" ht="15.95" customHeight="1">
      <c r="A21" s="161" t="s">
        <v>1561</v>
      </c>
      <c r="B21" s="184">
        <f>B22+B23</f>
        <v>1071294</v>
      </c>
      <c r="C21" s="184">
        <f t="shared" ref="C21:Z21" si="4">C22+C23</f>
        <v>149675</v>
      </c>
      <c r="D21" s="184">
        <f t="shared" si="4"/>
        <v>0</v>
      </c>
      <c r="E21" s="184">
        <f t="shared" si="4"/>
        <v>206</v>
      </c>
      <c r="F21" s="184">
        <f t="shared" si="4"/>
        <v>159615</v>
      </c>
      <c r="G21" s="184">
        <f t="shared" si="4"/>
        <v>238913</v>
      </c>
      <c r="H21" s="184">
        <f t="shared" si="4"/>
        <v>8127</v>
      </c>
      <c r="I21" s="184">
        <f t="shared" si="4"/>
        <v>28904</v>
      </c>
      <c r="J21" s="184">
        <f t="shared" si="4"/>
        <v>70613</v>
      </c>
      <c r="K21" s="184">
        <f t="shared" si="4"/>
        <v>111636</v>
      </c>
      <c r="L21" s="184">
        <f t="shared" si="4"/>
        <v>12997</v>
      </c>
      <c r="M21" s="184">
        <f t="shared" si="4"/>
        <v>123437</v>
      </c>
      <c r="N21" s="184">
        <f t="shared" si="4"/>
        <v>20505</v>
      </c>
      <c r="O21" s="184">
        <f t="shared" si="4"/>
        <v>27144</v>
      </c>
      <c r="P21" s="184">
        <f t="shared" si="4"/>
        <v>16946</v>
      </c>
      <c r="Q21" s="184">
        <f t="shared" si="4"/>
        <v>700</v>
      </c>
      <c r="R21" s="184">
        <f t="shared" si="4"/>
        <v>176</v>
      </c>
      <c r="S21" s="184">
        <f t="shared" si="4"/>
        <v>0</v>
      </c>
      <c r="T21" s="184">
        <f t="shared" si="4"/>
        <v>5726</v>
      </c>
      <c r="U21" s="184">
        <f t="shared" si="4"/>
        <v>7785</v>
      </c>
      <c r="V21" s="184">
        <f t="shared" si="4"/>
        <v>2414</v>
      </c>
      <c r="W21" s="184">
        <f t="shared" si="4"/>
        <v>10498</v>
      </c>
      <c r="X21" s="184">
        <f t="shared" si="4"/>
        <v>55969</v>
      </c>
      <c r="Y21" s="184">
        <f t="shared" si="4"/>
        <v>100</v>
      </c>
      <c r="Z21" s="184">
        <f t="shared" si="4"/>
        <v>19208</v>
      </c>
    </row>
    <row r="22" spans="1:26" s="132" customFormat="1" ht="15.95" customHeight="1">
      <c r="A22" s="167" t="s">
        <v>1562</v>
      </c>
      <c r="B22" s="184">
        <f>SUM(C22:Z22)</f>
        <v>435262</v>
      </c>
      <c r="C22" s="184">
        <v>61000</v>
      </c>
      <c r="D22" s="184"/>
      <c r="E22" s="184">
        <v>50</v>
      </c>
      <c r="F22" s="184">
        <v>40000</v>
      </c>
      <c r="G22" s="184">
        <v>90000</v>
      </c>
      <c r="H22" s="184">
        <v>4948</v>
      </c>
      <c r="I22" s="184">
        <v>23000</v>
      </c>
      <c r="J22" s="184">
        <v>25000</v>
      </c>
      <c r="K22" s="184">
        <v>59500</v>
      </c>
      <c r="L22" s="184">
        <v>10000</v>
      </c>
      <c r="M22" s="184">
        <v>20000</v>
      </c>
      <c r="N22" s="184">
        <v>4000</v>
      </c>
      <c r="O22" s="184">
        <v>17000</v>
      </c>
      <c r="P22" s="185">
        <v>13960</v>
      </c>
      <c r="Q22" s="184">
        <v>700</v>
      </c>
      <c r="R22" s="184">
        <v>100</v>
      </c>
      <c r="S22" s="184"/>
      <c r="T22" s="184">
        <v>4000</v>
      </c>
      <c r="U22" s="184">
        <v>1000</v>
      </c>
      <c r="V22" s="184">
        <v>1800</v>
      </c>
      <c r="W22" s="184">
        <v>4500</v>
      </c>
      <c r="X22" s="184">
        <v>43604</v>
      </c>
      <c r="Y22" s="184">
        <v>100</v>
      </c>
      <c r="Z22" s="184">
        <v>11000</v>
      </c>
    </row>
    <row r="23" spans="1:26" s="135" customFormat="1" ht="15.95" customHeight="1">
      <c r="A23" s="167" t="s">
        <v>1194</v>
      </c>
      <c r="B23" s="184">
        <f>SUM(B24:B27)</f>
        <v>636032</v>
      </c>
      <c r="C23" s="184">
        <f t="shared" ref="C23:Z23" si="5">SUM(C24:C27)</f>
        <v>88675</v>
      </c>
      <c r="D23" s="184">
        <f t="shared" si="5"/>
        <v>0</v>
      </c>
      <c r="E23" s="184">
        <f t="shared" si="5"/>
        <v>156</v>
      </c>
      <c r="F23" s="184">
        <f t="shared" si="5"/>
        <v>119615</v>
      </c>
      <c r="G23" s="184">
        <f t="shared" si="5"/>
        <v>148913</v>
      </c>
      <c r="H23" s="184">
        <f t="shared" si="5"/>
        <v>3179</v>
      </c>
      <c r="I23" s="184">
        <f t="shared" si="5"/>
        <v>5904</v>
      </c>
      <c r="J23" s="184">
        <f t="shared" si="5"/>
        <v>45613</v>
      </c>
      <c r="K23" s="184">
        <f t="shared" si="5"/>
        <v>52136</v>
      </c>
      <c r="L23" s="184">
        <f t="shared" si="5"/>
        <v>2997</v>
      </c>
      <c r="M23" s="184">
        <f t="shared" si="5"/>
        <v>103437</v>
      </c>
      <c r="N23" s="184">
        <f t="shared" si="5"/>
        <v>16505</v>
      </c>
      <c r="O23" s="184">
        <f t="shared" si="5"/>
        <v>10144</v>
      </c>
      <c r="P23" s="184">
        <f t="shared" si="5"/>
        <v>2986</v>
      </c>
      <c r="Q23" s="184">
        <f t="shared" si="5"/>
        <v>0</v>
      </c>
      <c r="R23" s="184">
        <f t="shared" si="5"/>
        <v>76</v>
      </c>
      <c r="S23" s="184">
        <f t="shared" si="5"/>
        <v>0</v>
      </c>
      <c r="T23" s="184">
        <f t="shared" si="5"/>
        <v>1726</v>
      </c>
      <c r="U23" s="184">
        <f t="shared" si="5"/>
        <v>6785</v>
      </c>
      <c r="V23" s="184">
        <f t="shared" si="5"/>
        <v>614</v>
      </c>
      <c r="W23" s="184">
        <f t="shared" si="5"/>
        <v>5998</v>
      </c>
      <c r="X23" s="184">
        <f t="shared" si="5"/>
        <v>12365</v>
      </c>
      <c r="Y23" s="184">
        <f t="shared" si="5"/>
        <v>0</v>
      </c>
      <c r="Z23" s="184">
        <f t="shared" si="5"/>
        <v>8208</v>
      </c>
    </row>
    <row r="24" spans="1:26" ht="15.95" customHeight="1">
      <c r="A24" s="167" t="s">
        <v>1563</v>
      </c>
      <c r="B24" s="184">
        <f>SUM(C24:Z24)</f>
        <v>292135</v>
      </c>
      <c r="C24" s="184">
        <v>23000</v>
      </c>
      <c r="D24" s="184"/>
      <c r="E24" s="184"/>
      <c r="F24" s="184">
        <v>49000</v>
      </c>
      <c r="G24" s="184">
        <v>69000</v>
      </c>
      <c r="H24" s="184">
        <v>2200</v>
      </c>
      <c r="I24" s="184">
        <v>850</v>
      </c>
      <c r="J24" s="184">
        <v>17193</v>
      </c>
      <c r="K24" s="184">
        <v>31000</v>
      </c>
      <c r="L24" s="184">
        <v>1200</v>
      </c>
      <c r="M24" s="184">
        <v>70925</v>
      </c>
      <c r="N24" s="184">
        <v>10000</v>
      </c>
      <c r="O24" s="184">
        <v>150</v>
      </c>
      <c r="P24" s="185">
        <v>700</v>
      </c>
      <c r="Q24" s="184"/>
      <c r="R24" s="184">
        <v>50</v>
      </c>
      <c r="S24" s="184"/>
      <c r="T24" s="184">
        <v>697</v>
      </c>
      <c r="U24" s="184">
        <v>2050</v>
      </c>
      <c r="V24" s="184">
        <v>400</v>
      </c>
      <c r="W24" s="184">
        <v>2700</v>
      </c>
      <c r="X24" s="184">
        <v>6420</v>
      </c>
      <c r="Y24" s="184"/>
      <c r="Z24" s="184">
        <v>4600</v>
      </c>
    </row>
    <row r="25" spans="1:26" ht="15.95" customHeight="1">
      <c r="A25" s="167" t="s">
        <v>1564</v>
      </c>
      <c r="B25" s="184">
        <f t="shared" ref="B25:B27" si="6">SUM(C25:Z25)</f>
        <v>140089</v>
      </c>
      <c r="C25" s="184">
        <v>29231</v>
      </c>
      <c r="D25" s="184"/>
      <c r="E25" s="184">
        <v>105</v>
      </c>
      <c r="F25" s="184">
        <v>26350</v>
      </c>
      <c r="G25" s="184">
        <v>36936</v>
      </c>
      <c r="H25" s="184">
        <v>446</v>
      </c>
      <c r="I25" s="184">
        <v>3217</v>
      </c>
      <c r="J25" s="184">
        <v>10710</v>
      </c>
      <c r="K25" s="184">
        <v>5913</v>
      </c>
      <c r="L25" s="184">
        <v>1182</v>
      </c>
      <c r="M25" s="184">
        <v>5759</v>
      </c>
      <c r="N25" s="184">
        <v>964</v>
      </c>
      <c r="O25" s="184">
        <v>9840</v>
      </c>
      <c r="P25" s="185">
        <v>133</v>
      </c>
      <c r="Q25" s="184"/>
      <c r="R25" s="184"/>
      <c r="S25" s="184"/>
      <c r="T25" s="184">
        <v>183</v>
      </c>
      <c r="U25" s="184">
        <v>3690</v>
      </c>
      <c r="V25" s="184">
        <v>142</v>
      </c>
      <c r="W25" s="184">
        <v>1225</v>
      </c>
      <c r="X25" s="184">
        <v>2763</v>
      </c>
      <c r="Y25" s="184"/>
      <c r="Z25" s="184">
        <v>1300</v>
      </c>
    </row>
    <row r="26" spans="1:26" ht="15.95" customHeight="1">
      <c r="A26" s="167" t="s">
        <v>1565</v>
      </c>
      <c r="B26" s="184">
        <f t="shared" si="6"/>
        <v>155796</v>
      </c>
      <c r="C26" s="184">
        <v>23955</v>
      </c>
      <c r="D26" s="184"/>
      <c r="E26" s="184"/>
      <c r="F26" s="184">
        <v>34199</v>
      </c>
      <c r="G26" s="184">
        <v>38194</v>
      </c>
      <c r="H26" s="184">
        <v>340</v>
      </c>
      <c r="I26" s="184">
        <v>1366</v>
      </c>
      <c r="J26" s="184">
        <v>12185</v>
      </c>
      <c r="K26" s="184">
        <v>11000</v>
      </c>
      <c r="L26" s="184">
        <v>87</v>
      </c>
      <c r="M26" s="184">
        <v>22545</v>
      </c>
      <c r="N26" s="184">
        <v>3000</v>
      </c>
      <c r="O26" s="184">
        <v>6</v>
      </c>
      <c r="P26" s="185">
        <v>2000</v>
      </c>
      <c r="Q26" s="184"/>
      <c r="R26" s="184">
        <v>23</v>
      </c>
      <c r="S26" s="184"/>
      <c r="T26" s="184">
        <v>800</v>
      </c>
      <c r="U26" s="184">
        <v>1000</v>
      </c>
      <c r="V26" s="184">
        <v>72</v>
      </c>
      <c r="W26" s="184">
        <v>1350</v>
      </c>
      <c r="X26" s="184">
        <v>1874</v>
      </c>
      <c r="Y26" s="184"/>
      <c r="Z26" s="184">
        <v>1800</v>
      </c>
    </row>
    <row r="27" spans="1:26" s="137" customFormat="1" ht="15.95" customHeight="1">
      <c r="A27" s="168" t="s">
        <v>1566</v>
      </c>
      <c r="B27" s="184">
        <f t="shared" si="6"/>
        <v>48012</v>
      </c>
      <c r="C27" s="184">
        <v>12489</v>
      </c>
      <c r="D27" s="184"/>
      <c r="E27" s="184">
        <v>51</v>
      </c>
      <c r="F27" s="184">
        <v>10066</v>
      </c>
      <c r="G27" s="184">
        <v>4783</v>
      </c>
      <c r="H27" s="184">
        <v>193</v>
      </c>
      <c r="I27" s="184">
        <v>471</v>
      </c>
      <c r="J27" s="184">
        <v>5525</v>
      </c>
      <c r="K27" s="184">
        <v>4223</v>
      </c>
      <c r="L27" s="184">
        <v>528</v>
      </c>
      <c r="M27" s="184">
        <v>4208</v>
      </c>
      <c r="N27" s="184">
        <v>2541</v>
      </c>
      <c r="O27" s="184">
        <v>148</v>
      </c>
      <c r="P27" s="185">
        <v>153</v>
      </c>
      <c r="Q27" s="184"/>
      <c r="R27" s="184">
        <v>3</v>
      </c>
      <c r="S27" s="184"/>
      <c r="T27" s="184">
        <v>46</v>
      </c>
      <c r="U27" s="184">
        <v>45</v>
      </c>
      <c r="V27" s="184"/>
      <c r="W27" s="184">
        <v>723</v>
      </c>
      <c r="X27" s="184">
        <v>1308</v>
      </c>
      <c r="Y27" s="184"/>
      <c r="Z27" s="184">
        <v>508</v>
      </c>
    </row>
    <row r="28" spans="1:26" s="137" customFormat="1" ht="15.95" customHeight="1">
      <c r="A28" s="163" t="s">
        <v>1567</v>
      </c>
      <c r="B28" s="153">
        <v>3046888</v>
      </c>
      <c r="C28" s="153">
        <v>269907</v>
      </c>
      <c r="D28" s="153">
        <v>0</v>
      </c>
      <c r="E28" s="153">
        <v>2017</v>
      </c>
      <c r="F28" s="153">
        <v>264626</v>
      </c>
      <c r="G28" s="153">
        <v>682756</v>
      </c>
      <c r="H28" s="153">
        <v>15489</v>
      </c>
      <c r="I28" s="153">
        <v>55385</v>
      </c>
      <c r="J28" s="153">
        <v>384396</v>
      </c>
      <c r="K28" s="153">
        <v>343827</v>
      </c>
      <c r="L28" s="153">
        <v>15623</v>
      </c>
      <c r="M28" s="153">
        <v>327147</v>
      </c>
      <c r="N28" s="153">
        <v>299751</v>
      </c>
      <c r="O28" s="153">
        <v>17723</v>
      </c>
      <c r="P28" s="153">
        <v>109269</v>
      </c>
      <c r="Q28" s="153">
        <v>8995</v>
      </c>
      <c r="R28" s="153">
        <v>77</v>
      </c>
      <c r="S28" s="153">
        <v>0</v>
      </c>
      <c r="T28" s="153">
        <v>10387</v>
      </c>
      <c r="U28" s="153">
        <v>98102</v>
      </c>
      <c r="V28" s="153">
        <v>7175</v>
      </c>
      <c r="W28" s="153">
        <v>9258</v>
      </c>
      <c r="X28" s="153">
        <v>74308</v>
      </c>
      <c r="Y28" s="153">
        <v>164</v>
      </c>
      <c r="Z28" s="153">
        <v>50506</v>
      </c>
    </row>
    <row r="29" spans="1:26" ht="15.95" customHeight="1">
      <c r="A29" s="169" t="s">
        <v>1568</v>
      </c>
      <c r="B29" s="153">
        <v>313172</v>
      </c>
      <c r="C29" s="153">
        <v>36688</v>
      </c>
      <c r="D29" s="153"/>
      <c r="E29" s="184">
        <v>968</v>
      </c>
      <c r="F29" s="184">
        <v>30275</v>
      </c>
      <c r="G29" s="184">
        <v>35856</v>
      </c>
      <c r="H29" s="184">
        <v>2525</v>
      </c>
      <c r="I29" s="184">
        <v>25764</v>
      </c>
      <c r="J29" s="184">
        <v>73877</v>
      </c>
      <c r="K29" s="184">
        <v>51145</v>
      </c>
      <c r="L29" s="184">
        <v>2784</v>
      </c>
      <c r="M29" s="184">
        <v>1015</v>
      </c>
      <c r="N29" s="184">
        <v>22276</v>
      </c>
      <c r="O29" s="184">
        <v>885</v>
      </c>
      <c r="P29" s="184">
        <v>227</v>
      </c>
      <c r="Q29" s="184">
        <v>2333</v>
      </c>
      <c r="R29" s="184"/>
      <c r="S29" s="184"/>
      <c r="T29" s="184">
        <v>1650</v>
      </c>
      <c r="U29" s="184">
        <v>8589</v>
      </c>
      <c r="V29" s="184">
        <v>899</v>
      </c>
      <c r="W29" s="184">
        <v>3294</v>
      </c>
      <c r="X29" s="184">
        <v>3622</v>
      </c>
      <c r="Y29" s="184"/>
      <c r="Z29" s="184">
        <v>8500</v>
      </c>
    </row>
    <row r="30" spans="1:26" ht="15.95" customHeight="1">
      <c r="A30" s="167" t="s">
        <v>1569</v>
      </c>
      <c r="B30" s="153">
        <v>1558</v>
      </c>
      <c r="C30" s="153">
        <v>1067</v>
      </c>
      <c r="D30" s="153"/>
      <c r="E30" s="153"/>
      <c r="F30" s="153"/>
      <c r="G30" s="153"/>
      <c r="H30" s="153"/>
      <c r="I30" s="153">
        <v>111</v>
      </c>
      <c r="J30" s="153">
        <v>60</v>
      </c>
      <c r="K30" s="153">
        <v>35</v>
      </c>
      <c r="L30" s="153"/>
      <c r="M30" s="153"/>
      <c r="N30" s="153"/>
      <c r="O30" s="153"/>
      <c r="P30" s="153"/>
      <c r="Q30" s="153">
        <v>20</v>
      </c>
      <c r="R30" s="153"/>
      <c r="S30" s="153"/>
      <c r="T30" s="153">
        <v>135</v>
      </c>
      <c r="U30" s="153">
        <v>41</v>
      </c>
      <c r="V30" s="153"/>
      <c r="W30" s="153"/>
      <c r="X30" s="153">
        <v>89</v>
      </c>
      <c r="Y30" s="153"/>
      <c r="Z30" s="153"/>
    </row>
    <row r="31" spans="1:26" ht="15.95" customHeight="1">
      <c r="A31" s="167" t="s">
        <v>1194</v>
      </c>
      <c r="B31" s="153">
        <v>2732158</v>
      </c>
      <c r="C31" s="153">
        <v>232152</v>
      </c>
      <c r="D31" s="153">
        <v>0</v>
      </c>
      <c r="E31" s="153">
        <v>1049</v>
      </c>
      <c r="F31" s="153">
        <v>234351</v>
      </c>
      <c r="G31" s="153">
        <v>646900</v>
      </c>
      <c r="H31" s="153">
        <v>12964</v>
      </c>
      <c r="I31" s="153">
        <v>29510</v>
      </c>
      <c r="J31" s="153">
        <v>310459</v>
      </c>
      <c r="K31" s="153">
        <v>292647</v>
      </c>
      <c r="L31" s="153">
        <v>12839</v>
      </c>
      <c r="M31" s="153">
        <v>326132</v>
      </c>
      <c r="N31" s="153">
        <v>277475</v>
      </c>
      <c r="O31" s="153">
        <v>16838</v>
      </c>
      <c r="P31" s="153">
        <v>109042</v>
      </c>
      <c r="Q31" s="153">
        <v>6642</v>
      </c>
      <c r="R31" s="153">
        <v>77</v>
      </c>
      <c r="S31" s="153">
        <v>0</v>
      </c>
      <c r="T31" s="153">
        <v>8602</v>
      </c>
      <c r="U31" s="153">
        <v>89472</v>
      </c>
      <c r="V31" s="153">
        <v>6276</v>
      </c>
      <c r="W31" s="153">
        <v>5964</v>
      </c>
      <c r="X31" s="153">
        <v>70597</v>
      </c>
      <c r="Y31" s="153">
        <v>164</v>
      </c>
      <c r="Z31" s="153">
        <v>42006</v>
      </c>
    </row>
    <row r="32" spans="1:26" ht="15.95" customHeight="1">
      <c r="A32" s="167" t="s">
        <v>1570</v>
      </c>
      <c r="B32" s="153">
        <v>449940</v>
      </c>
      <c r="C32" s="153">
        <v>53116</v>
      </c>
      <c r="D32" s="153"/>
      <c r="E32" s="153"/>
      <c r="F32" s="153">
        <v>68002</v>
      </c>
      <c r="G32" s="153">
        <v>154218</v>
      </c>
      <c r="H32" s="153">
        <v>5170</v>
      </c>
      <c r="I32" s="153">
        <v>4408</v>
      </c>
      <c r="J32" s="153">
        <v>45393</v>
      </c>
      <c r="K32" s="153">
        <v>54440</v>
      </c>
      <c r="L32" s="153">
        <v>808</v>
      </c>
      <c r="M32" s="153">
        <v>8223</v>
      </c>
      <c r="N32" s="153">
        <v>17188</v>
      </c>
      <c r="O32" s="153">
        <v>2201</v>
      </c>
      <c r="P32" s="153">
        <v>691</v>
      </c>
      <c r="Q32" s="153">
        <v>778</v>
      </c>
      <c r="R32" s="153"/>
      <c r="S32" s="153"/>
      <c r="T32" s="153">
        <v>2028</v>
      </c>
      <c r="U32" s="153">
        <v>17310</v>
      </c>
      <c r="V32" s="153"/>
      <c r="W32" s="153">
        <v>848</v>
      </c>
      <c r="X32" s="153">
        <v>11118</v>
      </c>
      <c r="Y32" s="153"/>
      <c r="Z32" s="153">
        <v>4000</v>
      </c>
    </row>
    <row r="33" spans="1:26" ht="15.95" customHeight="1">
      <c r="A33" s="167" t="s">
        <v>1571</v>
      </c>
      <c r="B33" s="153">
        <v>263531</v>
      </c>
      <c r="C33" s="153">
        <v>18356</v>
      </c>
      <c r="D33" s="153"/>
      <c r="E33" s="153"/>
      <c r="F33" s="153">
        <v>21657</v>
      </c>
      <c r="G33" s="153">
        <v>35499</v>
      </c>
      <c r="H33" s="153">
        <v>184</v>
      </c>
      <c r="I33" s="153">
        <v>2385</v>
      </c>
      <c r="J33" s="153">
        <v>20509</v>
      </c>
      <c r="K33" s="153">
        <v>9356</v>
      </c>
      <c r="L33" s="153">
        <v>852</v>
      </c>
      <c r="M33" s="153">
        <v>9105</v>
      </c>
      <c r="N33" s="153">
        <v>15222</v>
      </c>
      <c r="O33" s="153">
        <v>571</v>
      </c>
      <c r="P33" s="153">
        <v>98719</v>
      </c>
      <c r="Q33" s="153">
        <v>100</v>
      </c>
      <c r="R33" s="153"/>
      <c r="S33" s="153"/>
      <c r="T33" s="153">
        <v>705</v>
      </c>
      <c r="U33" s="153">
        <v>6176</v>
      </c>
      <c r="V33" s="153">
        <v>100</v>
      </c>
      <c r="W33" s="153">
        <v>678</v>
      </c>
      <c r="X33" s="153">
        <v>5112</v>
      </c>
      <c r="Y33" s="153"/>
      <c r="Z33" s="153">
        <v>18245</v>
      </c>
    </row>
    <row r="34" spans="1:26" ht="15.95" customHeight="1">
      <c r="A34" s="167" t="s">
        <v>1572</v>
      </c>
      <c r="B34" s="153">
        <v>432371</v>
      </c>
      <c r="C34" s="153">
        <v>44495</v>
      </c>
      <c r="D34" s="153"/>
      <c r="E34" s="153">
        <v>259</v>
      </c>
      <c r="F34" s="153">
        <v>27846</v>
      </c>
      <c r="G34" s="153">
        <v>16561</v>
      </c>
      <c r="H34" s="153">
        <v>52</v>
      </c>
      <c r="I34" s="153">
        <v>1230</v>
      </c>
      <c r="J34" s="153">
        <v>10702</v>
      </c>
      <c r="K34" s="153">
        <v>9821</v>
      </c>
      <c r="L34" s="153">
        <v>649</v>
      </c>
      <c r="M34" s="153">
        <v>288700</v>
      </c>
      <c r="N34" s="153">
        <v>6247</v>
      </c>
      <c r="O34" s="153">
        <v>219</v>
      </c>
      <c r="P34" s="153">
        <v>9454</v>
      </c>
      <c r="Q34" s="153">
        <v>2500</v>
      </c>
      <c r="R34" s="153"/>
      <c r="S34" s="153"/>
      <c r="T34" s="153">
        <v>607</v>
      </c>
      <c r="U34" s="153">
        <v>2858</v>
      </c>
      <c r="V34" s="153"/>
      <c r="W34" s="153">
        <v>1315</v>
      </c>
      <c r="X34" s="153">
        <v>4856</v>
      </c>
      <c r="Y34" s="153"/>
      <c r="Z34" s="153">
        <v>4000</v>
      </c>
    </row>
    <row r="35" spans="1:26" ht="15.95" customHeight="1">
      <c r="A35" s="168" t="s">
        <v>1573</v>
      </c>
      <c r="B35" s="153">
        <v>285175</v>
      </c>
      <c r="C35" s="153">
        <v>16782</v>
      </c>
      <c r="D35" s="153">
        <v>0</v>
      </c>
      <c r="E35" s="153">
        <v>0</v>
      </c>
      <c r="F35" s="153">
        <v>15082</v>
      </c>
      <c r="G35" s="153">
        <v>72876</v>
      </c>
      <c r="H35" s="153">
        <v>676</v>
      </c>
      <c r="I35" s="153">
        <v>3137</v>
      </c>
      <c r="J35" s="153">
        <v>53382</v>
      </c>
      <c r="K35" s="153">
        <v>45544</v>
      </c>
      <c r="L35" s="153">
        <v>1788</v>
      </c>
      <c r="M35" s="153">
        <v>2607</v>
      </c>
      <c r="N35" s="153">
        <v>41950</v>
      </c>
      <c r="O35" s="153">
        <v>2663</v>
      </c>
      <c r="P35" s="153">
        <v>20</v>
      </c>
      <c r="Q35" s="153">
        <v>584</v>
      </c>
      <c r="R35" s="153">
        <v>73</v>
      </c>
      <c r="S35" s="153">
        <v>0</v>
      </c>
      <c r="T35" s="153">
        <v>969</v>
      </c>
      <c r="U35" s="153">
        <v>15949</v>
      </c>
      <c r="V35" s="153">
        <v>13</v>
      </c>
      <c r="W35" s="153">
        <v>414</v>
      </c>
      <c r="X35" s="153">
        <v>7736</v>
      </c>
      <c r="Y35" s="153">
        <v>30</v>
      </c>
      <c r="Z35" s="153">
        <v>2900</v>
      </c>
    </row>
    <row r="36" spans="1:26" ht="15.95" customHeight="1">
      <c r="A36" s="168" t="s">
        <v>1574</v>
      </c>
      <c r="B36" s="153">
        <v>190268</v>
      </c>
      <c r="C36" s="153">
        <v>16263</v>
      </c>
      <c r="D36" s="153"/>
      <c r="E36" s="153">
        <v>165</v>
      </c>
      <c r="F36" s="153">
        <v>13002</v>
      </c>
      <c r="G36" s="153">
        <v>45967</v>
      </c>
      <c r="H36" s="153">
        <v>85</v>
      </c>
      <c r="I36" s="153">
        <v>3552</v>
      </c>
      <c r="J36" s="153">
        <v>25624</v>
      </c>
      <c r="K36" s="153">
        <v>26496</v>
      </c>
      <c r="L36" s="153">
        <v>1140</v>
      </c>
      <c r="M36" s="153">
        <v>2133</v>
      </c>
      <c r="N36" s="153">
        <v>33336</v>
      </c>
      <c r="O36" s="153">
        <v>1379</v>
      </c>
      <c r="P36" s="153">
        <v>20</v>
      </c>
      <c r="Q36" s="153">
        <v>203</v>
      </c>
      <c r="R36" s="153"/>
      <c r="S36" s="153"/>
      <c r="T36" s="153">
        <v>287</v>
      </c>
      <c r="U36" s="153">
        <v>8563</v>
      </c>
      <c r="V36" s="153">
        <v>2357</v>
      </c>
      <c r="W36" s="153">
        <v>265</v>
      </c>
      <c r="X36" s="153">
        <v>7375</v>
      </c>
      <c r="Y36" s="153">
        <v>10</v>
      </c>
      <c r="Z36" s="153">
        <v>2046</v>
      </c>
    </row>
    <row r="37" spans="1:26" ht="15.95" customHeight="1">
      <c r="A37" s="168" t="s">
        <v>1575</v>
      </c>
      <c r="B37" s="153">
        <v>217386</v>
      </c>
      <c r="C37" s="153">
        <v>20691</v>
      </c>
      <c r="D37" s="153"/>
      <c r="E37" s="153">
        <v>97</v>
      </c>
      <c r="F37" s="153">
        <v>19809</v>
      </c>
      <c r="G37" s="153">
        <v>67320</v>
      </c>
      <c r="H37" s="153">
        <v>2653</v>
      </c>
      <c r="I37" s="153">
        <v>1721</v>
      </c>
      <c r="J37" s="153">
        <v>29170</v>
      </c>
      <c r="K37" s="153">
        <v>28670</v>
      </c>
      <c r="L37" s="153">
        <v>2085</v>
      </c>
      <c r="M37" s="153">
        <v>4042</v>
      </c>
      <c r="N37" s="153">
        <v>24429</v>
      </c>
      <c r="O37" s="153">
        <v>2330</v>
      </c>
      <c r="P37" s="153">
        <v>68</v>
      </c>
      <c r="Q37" s="153">
        <v>219</v>
      </c>
      <c r="R37" s="153"/>
      <c r="S37" s="153"/>
      <c r="T37" s="153">
        <v>547</v>
      </c>
      <c r="U37" s="153">
        <v>6101</v>
      </c>
      <c r="V37" s="153">
        <v>20</v>
      </c>
      <c r="W37" s="153">
        <v>250</v>
      </c>
      <c r="X37" s="153">
        <v>5310</v>
      </c>
      <c r="Y37" s="153"/>
      <c r="Z37" s="153">
        <v>1854</v>
      </c>
    </row>
    <row r="38" spans="1:26" ht="15.95" customHeight="1">
      <c r="A38" s="168" t="s">
        <v>1576</v>
      </c>
      <c r="B38" s="153">
        <v>167111</v>
      </c>
      <c r="C38" s="153">
        <v>9932</v>
      </c>
      <c r="D38" s="153"/>
      <c r="E38" s="153"/>
      <c r="F38" s="153">
        <v>16262</v>
      </c>
      <c r="G38" s="153">
        <v>40911</v>
      </c>
      <c r="H38" s="153">
        <v>78</v>
      </c>
      <c r="I38" s="153">
        <v>2180</v>
      </c>
      <c r="J38" s="153">
        <v>24300</v>
      </c>
      <c r="K38" s="153">
        <v>21871</v>
      </c>
      <c r="L38" s="153">
        <v>1160</v>
      </c>
      <c r="M38" s="153">
        <v>521</v>
      </c>
      <c r="N38" s="153">
        <v>29516</v>
      </c>
      <c r="O38" s="153">
        <v>1391</v>
      </c>
      <c r="P38" s="153">
        <v>20</v>
      </c>
      <c r="Q38" s="153">
        <v>535</v>
      </c>
      <c r="R38" s="153"/>
      <c r="S38" s="153"/>
      <c r="T38" s="153">
        <v>512</v>
      </c>
      <c r="U38" s="153">
        <v>8168</v>
      </c>
      <c r="V38" s="153">
        <v>986</v>
      </c>
      <c r="W38" s="153">
        <v>196</v>
      </c>
      <c r="X38" s="153">
        <v>6890</v>
      </c>
      <c r="Y38" s="153">
        <v>11</v>
      </c>
      <c r="Z38" s="153">
        <v>1671</v>
      </c>
    </row>
    <row r="39" spans="1:26" ht="15.95" customHeight="1">
      <c r="A39" s="168" t="s">
        <v>1577</v>
      </c>
      <c r="B39" s="153">
        <v>165200</v>
      </c>
      <c r="C39" s="153">
        <v>10231</v>
      </c>
      <c r="D39" s="153"/>
      <c r="E39" s="153"/>
      <c r="F39" s="153">
        <v>15811</v>
      </c>
      <c r="G39" s="153">
        <v>46663</v>
      </c>
      <c r="H39" s="153">
        <v>1680</v>
      </c>
      <c r="I39" s="153">
        <v>3137</v>
      </c>
      <c r="J39" s="153">
        <v>23474</v>
      </c>
      <c r="K39" s="153">
        <v>20591</v>
      </c>
      <c r="L39" s="153">
        <v>500</v>
      </c>
      <c r="M39" s="153">
        <v>1724</v>
      </c>
      <c r="N39" s="153">
        <v>28141</v>
      </c>
      <c r="O39" s="153">
        <v>1106</v>
      </c>
      <c r="P39" s="153">
        <v>10</v>
      </c>
      <c r="Q39" s="153">
        <v>347</v>
      </c>
      <c r="R39" s="153">
        <v>4</v>
      </c>
      <c r="S39" s="153"/>
      <c r="T39" s="153">
        <v>839</v>
      </c>
      <c r="U39" s="153">
        <v>3896</v>
      </c>
      <c r="V39" s="153">
        <v>10</v>
      </c>
      <c r="W39" s="153">
        <v>198</v>
      </c>
      <c r="X39" s="153">
        <v>5175</v>
      </c>
      <c r="Y39" s="153">
        <v>13</v>
      </c>
      <c r="Z39" s="153">
        <v>1650</v>
      </c>
    </row>
    <row r="40" spans="1:26" ht="15.95" customHeight="1">
      <c r="A40" s="168" t="s">
        <v>1578</v>
      </c>
      <c r="B40" s="153">
        <v>238307</v>
      </c>
      <c r="C40" s="153">
        <v>17321</v>
      </c>
      <c r="D40" s="153">
        <v>0</v>
      </c>
      <c r="E40" s="153">
        <v>0</v>
      </c>
      <c r="F40" s="153">
        <v>11171</v>
      </c>
      <c r="G40" s="153">
        <v>85971</v>
      </c>
      <c r="H40" s="153">
        <v>196</v>
      </c>
      <c r="I40" s="153">
        <v>2687</v>
      </c>
      <c r="J40" s="153">
        <v>29105</v>
      </c>
      <c r="K40" s="153">
        <v>31771</v>
      </c>
      <c r="L40" s="153">
        <v>527</v>
      </c>
      <c r="M40" s="153">
        <v>4714</v>
      </c>
      <c r="N40" s="153">
        <v>34656</v>
      </c>
      <c r="O40" s="153">
        <v>2309</v>
      </c>
      <c r="P40" s="153">
        <v>20</v>
      </c>
      <c r="Q40" s="153">
        <v>682</v>
      </c>
      <c r="R40" s="153">
        <v>0</v>
      </c>
      <c r="S40" s="153">
        <v>0</v>
      </c>
      <c r="T40" s="153">
        <v>748</v>
      </c>
      <c r="U40" s="153">
        <v>5726</v>
      </c>
      <c r="V40" s="153">
        <v>1642</v>
      </c>
      <c r="W40" s="153">
        <v>1192</v>
      </c>
      <c r="X40" s="153">
        <v>5489</v>
      </c>
      <c r="Y40" s="153">
        <v>0</v>
      </c>
      <c r="Z40" s="153">
        <v>2380</v>
      </c>
    </row>
    <row r="41" spans="1:26" ht="15.95" customHeight="1">
      <c r="A41" s="168" t="s">
        <v>1579</v>
      </c>
      <c r="B41" s="153">
        <v>155872</v>
      </c>
      <c r="C41" s="153">
        <v>11931</v>
      </c>
      <c r="D41" s="153"/>
      <c r="E41" s="153">
        <v>8</v>
      </c>
      <c r="F41" s="153">
        <v>12394</v>
      </c>
      <c r="G41" s="153">
        <v>39239</v>
      </c>
      <c r="H41" s="153">
        <v>137</v>
      </c>
      <c r="I41" s="153">
        <v>2360</v>
      </c>
      <c r="J41" s="153">
        <v>22506</v>
      </c>
      <c r="K41" s="153">
        <v>21305</v>
      </c>
      <c r="L41" s="153">
        <v>1804</v>
      </c>
      <c r="M41" s="153">
        <v>2434</v>
      </c>
      <c r="N41" s="153">
        <v>24258</v>
      </c>
      <c r="O41" s="153">
        <v>1421</v>
      </c>
      <c r="P41" s="153">
        <v>10</v>
      </c>
      <c r="Q41" s="153">
        <v>438</v>
      </c>
      <c r="R41" s="153"/>
      <c r="S41" s="153"/>
      <c r="T41" s="153">
        <v>321</v>
      </c>
      <c r="U41" s="153">
        <v>6668</v>
      </c>
      <c r="V41" s="153">
        <v>515</v>
      </c>
      <c r="W41" s="153">
        <v>334</v>
      </c>
      <c r="X41" s="153">
        <v>6179</v>
      </c>
      <c r="Y41" s="153">
        <v>50</v>
      </c>
      <c r="Z41" s="153">
        <v>1560</v>
      </c>
    </row>
    <row r="42" spans="1:26" s="132" customFormat="1" ht="15.95" customHeight="1">
      <c r="A42" s="168" t="s">
        <v>1580</v>
      </c>
      <c r="B42" s="153">
        <v>166997</v>
      </c>
      <c r="C42" s="153">
        <v>13034</v>
      </c>
      <c r="D42" s="153"/>
      <c r="E42" s="153">
        <v>520</v>
      </c>
      <c r="F42" s="153">
        <v>13315</v>
      </c>
      <c r="G42" s="153">
        <v>41675</v>
      </c>
      <c r="H42" s="153">
        <v>2053</v>
      </c>
      <c r="I42" s="153">
        <v>2713</v>
      </c>
      <c r="J42" s="153">
        <v>26294</v>
      </c>
      <c r="K42" s="153">
        <v>22782</v>
      </c>
      <c r="L42" s="153">
        <v>1526</v>
      </c>
      <c r="M42" s="153">
        <v>1929</v>
      </c>
      <c r="N42" s="153">
        <v>22532</v>
      </c>
      <c r="O42" s="153">
        <v>1248</v>
      </c>
      <c r="P42" s="153">
        <v>10</v>
      </c>
      <c r="Q42" s="153">
        <v>256</v>
      </c>
      <c r="R42" s="153"/>
      <c r="S42" s="153"/>
      <c r="T42" s="153">
        <v>1039</v>
      </c>
      <c r="U42" s="153">
        <v>8057</v>
      </c>
      <c r="V42" s="153">
        <v>633</v>
      </c>
      <c r="W42" s="153">
        <v>274</v>
      </c>
      <c r="X42" s="153">
        <v>5357</v>
      </c>
      <c r="Y42" s="153">
        <v>50</v>
      </c>
      <c r="Z42" s="153">
        <v>1700</v>
      </c>
    </row>
    <row r="43" spans="1:26" s="132" customFormat="1" ht="15.95" customHeight="1">
      <c r="A43" s="161" t="s">
        <v>1581</v>
      </c>
      <c r="B43" s="153">
        <f>SUM(C43:Z43)</f>
        <v>1481057</v>
      </c>
      <c r="C43" s="153">
        <f>SUM(C44:C45)</f>
        <v>150681</v>
      </c>
      <c r="D43" s="153">
        <f t="shared" ref="D43:Z43" si="7">SUM(D44:D45)</f>
        <v>0</v>
      </c>
      <c r="E43" s="153">
        <f t="shared" si="7"/>
        <v>1914</v>
      </c>
      <c r="F43" s="153">
        <f t="shared" si="7"/>
        <v>146731</v>
      </c>
      <c r="G43" s="153">
        <f t="shared" si="7"/>
        <v>261964</v>
      </c>
      <c r="H43" s="153">
        <f t="shared" si="7"/>
        <v>3626</v>
      </c>
      <c r="I43" s="153">
        <f t="shared" si="7"/>
        <v>22853</v>
      </c>
      <c r="J43" s="153">
        <f t="shared" si="7"/>
        <v>203243</v>
      </c>
      <c r="K43" s="153">
        <f t="shared" si="7"/>
        <v>153685</v>
      </c>
      <c r="L43" s="153">
        <f t="shared" si="7"/>
        <v>13591</v>
      </c>
      <c r="M43" s="153">
        <f t="shared" si="7"/>
        <v>64061</v>
      </c>
      <c r="N43" s="153">
        <f t="shared" si="7"/>
        <v>209670</v>
      </c>
      <c r="O43" s="153">
        <f t="shared" si="7"/>
        <v>59231</v>
      </c>
      <c r="P43" s="153">
        <f t="shared" si="7"/>
        <v>8030</v>
      </c>
      <c r="Q43" s="153">
        <f t="shared" si="7"/>
        <v>4782</v>
      </c>
      <c r="R43" s="153">
        <f t="shared" si="7"/>
        <v>104</v>
      </c>
      <c r="S43" s="153">
        <f t="shared" si="7"/>
        <v>0</v>
      </c>
      <c r="T43" s="153">
        <f t="shared" si="7"/>
        <v>8805</v>
      </c>
      <c r="U43" s="153">
        <f t="shared" si="7"/>
        <v>58486</v>
      </c>
      <c r="V43" s="153">
        <f t="shared" si="7"/>
        <v>6954</v>
      </c>
      <c r="W43" s="153">
        <f t="shared" si="7"/>
        <v>7375</v>
      </c>
      <c r="X43" s="153">
        <f t="shared" si="7"/>
        <v>48318</v>
      </c>
      <c r="Y43" s="153">
        <f t="shared" si="7"/>
        <v>39</v>
      </c>
      <c r="Z43" s="153">
        <f t="shared" si="7"/>
        <v>46914</v>
      </c>
    </row>
    <row r="44" spans="1:26" s="132" customFormat="1" ht="15.95" customHeight="1">
      <c r="A44" s="167" t="s">
        <v>1193</v>
      </c>
      <c r="B44" s="153">
        <f t="shared" ref="B44:B52" si="8">SUM(C44:Z44)</f>
        <v>216613</v>
      </c>
      <c r="C44" s="153">
        <v>28472</v>
      </c>
      <c r="D44" s="153">
        <v>0</v>
      </c>
      <c r="E44" s="153">
        <v>1909</v>
      </c>
      <c r="F44" s="153">
        <v>24178</v>
      </c>
      <c r="G44" s="153">
        <v>20468</v>
      </c>
      <c r="H44" s="153">
        <v>559</v>
      </c>
      <c r="I44" s="153">
        <v>9674</v>
      </c>
      <c r="J44" s="153">
        <v>18030</v>
      </c>
      <c r="K44" s="153">
        <f>19628-3050</f>
        <v>16578</v>
      </c>
      <c r="L44" s="153">
        <v>692</v>
      </c>
      <c r="M44" s="153">
        <v>0</v>
      </c>
      <c r="N44" s="153">
        <v>11435</v>
      </c>
      <c r="O44" s="153">
        <v>53089</v>
      </c>
      <c r="P44" s="174">
        <v>7034</v>
      </c>
      <c r="Q44" s="153">
        <v>2677</v>
      </c>
      <c r="R44" s="153">
        <v>0</v>
      </c>
      <c r="S44" s="153">
        <v>0</v>
      </c>
      <c r="T44" s="153">
        <v>2566</v>
      </c>
      <c r="U44" s="153">
        <v>4754</v>
      </c>
      <c r="V44" s="153">
        <v>3</v>
      </c>
      <c r="W44" s="153">
        <v>2121</v>
      </c>
      <c r="X44" s="153">
        <v>7054</v>
      </c>
      <c r="Y44" s="153"/>
      <c r="Z44" s="153">
        <f>30473-25153</f>
        <v>5320</v>
      </c>
    </row>
    <row r="45" spans="1:26" s="132" customFormat="1" ht="15.95" customHeight="1">
      <c r="A45" s="167" t="s">
        <v>1194</v>
      </c>
      <c r="B45" s="153">
        <f t="shared" si="8"/>
        <v>1264444</v>
      </c>
      <c r="C45" s="153">
        <f>SUM(C46:C52)</f>
        <v>122209</v>
      </c>
      <c r="D45" s="153">
        <f t="shared" ref="D45:Z45" si="9">SUM(D46:D52)</f>
        <v>0</v>
      </c>
      <c r="E45" s="153">
        <f t="shared" si="9"/>
        <v>5</v>
      </c>
      <c r="F45" s="153">
        <f t="shared" si="9"/>
        <v>122553</v>
      </c>
      <c r="G45" s="153">
        <f t="shared" si="9"/>
        <v>241496</v>
      </c>
      <c r="H45" s="153">
        <f t="shared" si="9"/>
        <v>3067</v>
      </c>
      <c r="I45" s="153">
        <f t="shared" si="9"/>
        <v>13179</v>
      </c>
      <c r="J45" s="153">
        <f t="shared" si="9"/>
        <v>185213</v>
      </c>
      <c r="K45" s="153">
        <f t="shared" si="9"/>
        <v>137107</v>
      </c>
      <c r="L45" s="153">
        <f t="shared" si="9"/>
        <v>12899</v>
      </c>
      <c r="M45" s="153">
        <f t="shared" si="9"/>
        <v>64061</v>
      </c>
      <c r="N45" s="153">
        <f t="shared" si="9"/>
        <v>198235</v>
      </c>
      <c r="O45" s="153">
        <f t="shared" si="9"/>
        <v>6142</v>
      </c>
      <c r="P45" s="153">
        <f t="shared" si="9"/>
        <v>996</v>
      </c>
      <c r="Q45" s="153">
        <f t="shared" si="9"/>
        <v>2105</v>
      </c>
      <c r="R45" s="153">
        <f t="shared" si="9"/>
        <v>104</v>
      </c>
      <c r="S45" s="153">
        <f t="shared" si="9"/>
        <v>0</v>
      </c>
      <c r="T45" s="153">
        <f t="shared" si="9"/>
        <v>6239</v>
      </c>
      <c r="U45" s="153">
        <f t="shared" si="9"/>
        <v>53732</v>
      </c>
      <c r="V45" s="153">
        <f t="shared" si="9"/>
        <v>6951</v>
      </c>
      <c r="W45" s="153">
        <f t="shared" si="9"/>
        <v>5254</v>
      </c>
      <c r="X45" s="153">
        <f t="shared" si="9"/>
        <v>41264</v>
      </c>
      <c r="Y45" s="153">
        <f t="shared" si="9"/>
        <v>39</v>
      </c>
      <c r="Z45" s="153">
        <f t="shared" si="9"/>
        <v>41594</v>
      </c>
    </row>
    <row r="46" spans="1:26" s="132" customFormat="1" ht="15.95" customHeight="1">
      <c r="A46" s="167" t="s">
        <v>1582</v>
      </c>
      <c r="B46" s="153">
        <f t="shared" si="8"/>
        <v>169670</v>
      </c>
      <c r="C46" s="153">
        <v>18421</v>
      </c>
      <c r="D46" s="153"/>
      <c r="E46" s="153"/>
      <c r="F46" s="153">
        <v>23620</v>
      </c>
      <c r="G46" s="153">
        <v>28447</v>
      </c>
      <c r="H46" s="153">
        <v>2090</v>
      </c>
      <c r="I46" s="153">
        <v>1607</v>
      </c>
      <c r="J46" s="153">
        <v>20816</v>
      </c>
      <c r="K46" s="153">
        <v>18476</v>
      </c>
      <c r="L46" s="153">
        <v>1963</v>
      </c>
      <c r="M46" s="153">
        <v>9657</v>
      </c>
      <c r="N46" s="153">
        <v>21533</v>
      </c>
      <c r="O46" s="153">
        <v>1087</v>
      </c>
      <c r="P46" s="174"/>
      <c r="Q46" s="153">
        <v>1069</v>
      </c>
      <c r="R46" s="153">
        <v>23</v>
      </c>
      <c r="S46" s="153"/>
      <c r="T46" s="153">
        <v>1407</v>
      </c>
      <c r="U46" s="153">
        <v>4912</v>
      </c>
      <c r="V46" s="153">
        <v>2611</v>
      </c>
      <c r="W46" s="153">
        <v>1248</v>
      </c>
      <c r="X46" s="153">
        <v>9183</v>
      </c>
      <c r="Y46" s="153"/>
      <c r="Z46" s="153">
        <v>1500</v>
      </c>
    </row>
    <row r="47" spans="1:26" s="132" customFormat="1" ht="15.95" customHeight="1">
      <c r="A47" s="167" t="s">
        <v>1583</v>
      </c>
      <c r="B47" s="153">
        <f t="shared" si="8"/>
        <v>260653</v>
      </c>
      <c r="C47" s="153">
        <v>20623</v>
      </c>
      <c r="D47" s="153"/>
      <c r="E47" s="153"/>
      <c r="F47" s="153">
        <v>20263</v>
      </c>
      <c r="G47" s="153">
        <v>45543</v>
      </c>
      <c r="H47" s="153">
        <v>48</v>
      </c>
      <c r="I47" s="153">
        <v>2223</v>
      </c>
      <c r="J47" s="153">
        <v>41265</v>
      </c>
      <c r="K47" s="153">
        <v>24403</v>
      </c>
      <c r="L47" s="153">
        <v>2524</v>
      </c>
      <c r="M47" s="153">
        <v>11458</v>
      </c>
      <c r="N47" s="153">
        <v>39451</v>
      </c>
      <c r="O47" s="153">
        <v>461</v>
      </c>
      <c r="P47" s="174"/>
      <c r="Q47" s="153">
        <v>132</v>
      </c>
      <c r="R47" s="153"/>
      <c r="S47" s="153"/>
      <c r="T47" s="153">
        <v>1452</v>
      </c>
      <c r="U47" s="153">
        <v>17157</v>
      </c>
      <c r="V47" s="153">
        <v>3633</v>
      </c>
      <c r="W47" s="153">
        <v>388</v>
      </c>
      <c r="X47" s="153">
        <v>4616</v>
      </c>
      <c r="Y47" s="153"/>
      <c r="Z47" s="153">
        <v>25013</v>
      </c>
    </row>
    <row r="48" spans="1:26" s="132" customFormat="1" ht="15.95" customHeight="1">
      <c r="A48" s="167" t="s">
        <v>1584</v>
      </c>
      <c r="B48" s="153">
        <f t="shared" si="8"/>
        <v>302654</v>
      </c>
      <c r="C48" s="153">
        <v>25660</v>
      </c>
      <c r="D48" s="153">
        <v>0</v>
      </c>
      <c r="E48" s="153">
        <v>0</v>
      </c>
      <c r="F48" s="153">
        <v>33229</v>
      </c>
      <c r="G48" s="153">
        <v>51526</v>
      </c>
      <c r="H48" s="153">
        <v>225</v>
      </c>
      <c r="I48" s="153">
        <v>2315</v>
      </c>
      <c r="J48" s="153">
        <v>46249</v>
      </c>
      <c r="K48" s="153">
        <v>30321</v>
      </c>
      <c r="L48" s="153">
        <v>3363</v>
      </c>
      <c r="M48" s="153">
        <v>29162</v>
      </c>
      <c r="N48" s="153">
        <v>48782</v>
      </c>
      <c r="O48" s="153">
        <v>2655</v>
      </c>
      <c r="P48" s="153">
        <v>996</v>
      </c>
      <c r="Q48" s="153">
        <v>559</v>
      </c>
      <c r="R48" s="153">
        <v>32</v>
      </c>
      <c r="S48" s="153">
        <v>0</v>
      </c>
      <c r="T48" s="153">
        <v>687</v>
      </c>
      <c r="U48" s="153">
        <v>14271</v>
      </c>
      <c r="V48" s="153">
        <v>0</v>
      </c>
      <c r="W48" s="153">
        <v>1287</v>
      </c>
      <c r="X48" s="153">
        <v>7352</v>
      </c>
      <c r="Y48" s="153">
        <v>2</v>
      </c>
      <c r="Z48" s="153">
        <v>3981</v>
      </c>
    </row>
    <row r="49" spans="1:26" s="132" customFormat="1" ht="15.95" customHeight="1">
      <c r="A49" s="168" t="s">
        <v>1585</v>
      </c>
      <c r="B49" s="153">
        <f t="shared" si="8"/>
        <v>204204</v>
      </c>
      <c r="C49" s="153">
        <v>12796</v>
      </c>
      <c r="D49" s="153"/>
      <c r="E49" s="153"/>
      <c r="F49" s="153">
        <v>20402</v>
      </c>
      <c r="G49" s="153">
        <v>56577</v>
      </c>
      <c r="H49" s="153">
        <v>126</v>
      </c>
      <c r="I49" s="153">
        <v>2596</v>
      </c>
      <c r="J49" s="153">
        <v>27525</v>
      </c>
      <c r="K49" s="153">
        <v>24080</v>
      </c>
      <c r="L49" s="153">
        <v>463</v>
      </c>
      <c r="M49" s="153">
        <v>4916</v>
      </c>
      <c r="N49" s="153">
        <v>33293</v>
      </c>
      <c r="O49" s="153">
        <v>895</v>
      </c>
      <c r="P49" s="174"/>
      <c r="Q49" s="153">
        <v>144</v>
      </c>
      <c r="R49" s="153">
        <v>34</v>
      </c>
      <c r="S49" s="153"/>
      <c r="T49" s="153">
        <v>559</v>
      </c>
      <c r="U49" s="153">
        <v>4138</v>
      </c>
      <c r="V49" s="153"/>
      <c r="W49" s="153">
        <v>600</v>
      </c>
      <c r="X49" s="153">
        <v>7048</v>
      </c>
      <c r="Y49" s="153">
        <v>12</v>
      </c>
      <c r="Z49" s="153">
        <v>8000</v>
      </c>
    </row>
    <row r="50" spans="1:26" s="132" customFormat="1" ht="15.95" customHeight="1">
      <c r="A50" s="167" t="s">
        <v>1586</v>
      </c>
      <c r="B50" s="153">
        <f t="shared" si="8"/>
        <v>118039</v>
      </c>
      <c r="C50" s="153">
        <v>11070</v>
      </c>
      <c r="D50" s="153"/>
      <c r="E50" s="153"/>
      <c r="F50" s="153">
        <v>11406</v>
      </c>
      <c r="G50" s="153">
        <v>25044</v>
      </c>
      <c r="H50" s="153">
        <v>67</v>
      </c>
      <c r="I50" s="153">
        <v>1177</v>
      </c>
      <c r="J50" s="153">
        <v>16749</v>
      </c>
      <c r="K50" s="153">
        <v>14754</v>
      </c>
      <c r="L50" s="153">
        <v>2477</v>
      </c>
      <c r="M50" s="153">
        <v>2641</v>
      </c>
      <c r="N50" s="153">
        <v>21832</v>
      </c>
      <c r="O50" s="153">
        <v>210</v>
      </c>
      <c r="P50" s="174"/>
      <c r="Q50" s="153">
        <v>34</v>
      </c>
      <c r="R50" s="153"/>
      <c r="S50" s="153"/>
      <c r="T50" s="153">
        <v>737</v>
      </c>
      <c r="U50" s="153">
        <v>4937</v>
      </c>
      <c r="V50" s="153">
        <v>707</v>
      </c>
      <c r="W50" s="153">
        <v>334</v>
      </c>
      <c r="X50" s="153">
        <v>2658</v>
      </c>
      <c r="Y50" s="153">
        <v>25</v>
      </c>
      <c r="Z50" s="153">
        <v>1180</v>
      </c>
    </row>
    <row r="51" spans="1:26" s="132" customFormat="1" ht="15.95" customHeight="1">
      <c r="A51" s="168" t="s">
        <v>1587</v>
      </c>
      <c r="B51" s="153">
        <f t="shared" si="8"/>
        <v>91559</v>
      </c>
      <c r="C51" s="153">
        <v>13502</v>
      </c>
      <c r="D51" s="153"/>
      <c r="E51" s="153"/>
      <c r="F51" s="153">
        <v>7499</v>
      </c>
      <c r="G51" s="153">
        <v>16143</v>
      </c>
      <c r="H51" s="153">
        <v>327</v>
      </c>
      <c r="I51" s="153">
        <v>1266</v>
      </c>
      <c r="J51" s="153">
        <v>14561</v>
      </c>
      <c r="K51" s="153">
        <v>10131</v>
      </c>
      <c r="L51" s="153">
        <v>1587</v>
      </c>
      <c r="M51" s="153">
        <v>2445</v>
      </c>
      <c r="N51" s="153">
        <v>15469</v>
      </c>
      <c r="O51" s="153">
        <v>786</v>
      </c>
      <c r="P51" s="174"/>
      <c r="Q51" s="153">
        <v>90</v>
      </c>
      <c r="R51" s="153">
        <v>9</v>
      </c>
      <c r="S51" s="153"/>
      <c r="T51" s="153">
        <v>500</v>
      </c>
      <c r="U51" s="153">
        <v>3739</v>
      </c>
      <c r="V51" s="153"/>
      <c r="W51" s="153">
        <v>571</v>
      </c>
      <c r="X51" s="153">
        <v>2014</v>
      </c>
      <c r="Y51" s="153"/>
      <c r="Z51" s="153">
        <v>920</v>
      </c>
    </row>
    <row r="52" spans="1:26" s="139" customFormat="1" ht="15.95" customHeight="1">
      <c r="A52" s="168" t="s">
        <v>1588</v>
      </c>
      <c r="B52" s="153">
        <f t="shared" si="8"/>
        <v>117665</v>
      </c>
      <c r="C52" s="153">
        <v>20137</v>
      </c>
      <c r="D52" s="153">
        <v>0</v>
      </c>
      <c r="E52" s="153">
        <v>5</v>
      </c>
      <c r="F52" s="153">
        <v>6134</v>
      </c>
      <c r="G52" s="153">
        <v>18216</v>
      </c>
      <c r="H52" s="153">
        <v>184</v>
      </c>
      <c r="I52" s="153">
        <v>1995</v>
      </c>
      <c r="J52" s="153">
        <v>18048</v>
      </c>
      <c r="K52" s="153">
        <v>14942</v>
      </c>
      <c r="L52" s="153">
        <v>522</v>
      </c>
      <c r="M52" s="153">
        <v>3782</v>
      </c>
      <c r="N52" s="153">
        <v>17875</v>
      </c>
      <c r="O52" s="153">
        <v>48</v>
      </c>
      <c r="P52" s="174"/>
      <c r="Q52" s="153">
        <v>77</v>
      </c>
      <c r="R52" s="153">
        <v>6</v>
      </c>
      <c r="S52" s="153"/>
      <c r="T52" s="153">
        <v>897</v>
      </c>
      <c r="U52" s="153">
        <v>4578</v>
      </c>
      <c r="V52" s="153"/>
      <c r="W52" s="153">
        <v>826</v>
      </c>
      <c r="X52" s="153">
        <v>8393</v>
      </c>
      <c r="Y52" s="153"/>
      <c r="Z52" s="153">
        <v>1000</v>
      </c>
    </row>
    <row r="53" spans="1:26" s="139" customFormat="1" ht="15.95" customHeight="1">
      <c r="A53" s="161" t="s">
        <v>1670</v>
      </c>
      <c r="B53" s="186">
        <f t="shared" ref="B53:Z53" si="10">SUM(B54:B55)</f>
        <v>1252432</v>
      </c>
      <c r="C53" s="186">
        <f t="shared" si="10"/>
        <v>173352</v>
      </c>
      <c r="D53" s="186">
        <f t="shared" si="10"/>
        <v>0</v>
      </c>
      <c r="E53" s="186">
        <f t="shared" si="10"/>
        <v>1466</v>
      </c>
      <c r="F53" s="186">
        <f t="shared" si="10"/>
        <v>83060</v>
      </c>
      <c r="G53" s="186">
        <f t="shared" si="10"/>
        <v>220057</v>
      </c>
      <c r="H53" s="186">
        <f t="shared" si="10"/>
        <v>4568</v>
      </c>
      <c r="I53" s="186">
        <f t="shared" si="10"/>
        <v>24377</v>
      </c>
      <c r="J53" s="186">
        <f t="shared" si="10"/>
        <v>130660</v>
      </c>
      <c r="K53" s="186">
        <f t="shared" si="10"/>
        <v>91660</v>
      </c>
      <c r="L53" s="186">
        <f t="shared" si="10"/>
        <v>16213</v>
      </c>
      <c r="M53" s="186">
        <f t="shared" si="10"/>
        <v>44133</v>
      </c>
      <c r="N53" s="186">
        <f t="shared" si="10"/>
        <v>190874</v>
      </c>
      <c r="O53" s="186">
        <f t="shared" si="10"/>
        <v>126201</v>
      </c>
      <c r="P53" s="186">
        <f t="shared" si="10"/>
        <v>17377</v>
      </c>
      <c r="Q53" s="186">
        <f t="shared" si="10"/>
        <v>1531</v>
      </c>
      <c r="R53" s="186">
        <f t="shared" si="10"/>
        <v>54</v>
      </c>
      <c r="S53" s="186">
        <f t="shared" si="10"/>
        <v>0</v>
      </c>
      <c r="T53" s="186">
        <f t="shared" si="10"/>
        <v>30124</v>
      </c>
      <c r="U53" s="186">
        <f t="shared" si="10"/>
        <v>19112</v>
      </c>
      <c r="V53" s="186">
        <f t="shared" si="10"/>
        <v>2821</v>
      </c>
      <c r="W53" s="187">
        <f t="shared" si="10"/>
        <v>5236</v>
      </c>
      <c r="X53" s="186">
        <f t="shared" si="10"/>
        <v>47722</v>
      </c>
      <c r="Y53" s="186">
        <f t="shared" si="10"/>
        <v>210</v>
      </c>
      <c r="Z53" s="186">
        <f t="shared" si="10"/>
        <v>21624</v>
      </c>
    </row>
    <row r="54" spans="1:26" s="139" customFormat="1" ht="15.95" customHeight="1">
      <c r="A54" s="167" t="s">
        <v>1193</v>
      </c>
      <c r="B54" s="186">
        <f t="shared" ref="B54:B60" si="11">SUM(C54:Z54)</f>
        <v>357290</v>
      </c>
      <c r="C54" s="186">
        <v>32407</v>
      </c>
      <c r="D54" s="186">
        <v>0</v>
      </c>
      <c r="E54" s="186">
        <v>100</v>
      </c>
      <c r="F54" s="186">
        <v>9991</v>
      </c>
      <c r="G54" s="186">
        <v>20777</v>
      </c>
      <c r="H54" s="186">
        <v>832</v>
      </c>
      <c r="I54" s="186">
        <v>9632</v>
      </c>
      <c r="J54" s="186">
        <v>34091</v>
      </c>
      <c r="K54" s="186">
        <v>14257</v>
      </c>
      <c r="L54" s="186">
        <v>924</v>
      </c>
      <c r="M54" s="186">
        <v>5609</v>
      </c>
      <c r="N54" s="186">
        <v>54185</v>
      </c>
      <c r="O54" s="186">
        <v>116598</v>
      </c>
      <c r="P54" s="186">
        <v>16569</v>
      </c>
      <c r="Q54" s="186">
        <v>307</v>
      </c>
      <c r="R54" s="186">
        <v>0</v>
      </c>
      <c r="S54" s="186">
        <v>0</v>
      </c>
      <c r="T54" s="186">
        <v>20534</v>
      </c>
      <c r="U54" s="186">
        <v>5452</v>
      </c>
      <c r="V54" s="186">
        <v>0</v>
      </c>
      <c r="W54" s="186">
        <v>2285</v>
      </c>
      <c r="X54" s="186">
        <v>6096</v>
      </c>
      <c r="Y54" s="186"/>
      <c r="Z54" s="186">
        <v>6644</v>
      </c>
    </row>
    <row r="55" spans="1:26" s="139" customFormat="1" ht="15.95" customHeight="1">
      <c r="A55" s="167" t="s">
        <v>1194</v>
      </c>
      <c r="B55" s="186">
        <f t="shared" ref="B55:Z55" si="12">SUM(B56:B62)</f>
        <v>895142</v>
      </c>
      <c r="C55" s="186">
        <f t="shared" si="12"/>
        <v>140945</v>
      </c>
      <c r="D55" s="186">
        <f t="shared" si="12"/>
        <v>0</v>
      </c>
      <c r="E55" s="186">
        <f t="shared" si="12"/>
        <v>1366</v>
      </c>
      <c r="F55" s="186">
        <f t="shared" si="12"/>
        <v>73069</v>
      </c>
      <c r="G55" s="186">
        <f t="shared" si="12"/>
        <v>199280</v>
      </c>
      <c r="H55" s="186">
        <f t="shared" si="12"/>
        <v>3736</v>
      </c>
      <c r="I55" s="186">
        <f t="shared" si="12"/>
        <v>14745</v>
      </c>
      <c r="J55" s="186">
        <f t="shared" si="12"/>
        <v>96569</v>
      </c>
      <c r="K55" s="186">
        <f t="shared" si="12"/>
        <v>77403</v>
      </c>
      <c r="L55" s="186">
        <f t="shared" si="12"/>
        <v>15289</v>
      </c>
      <c r="M55" s="186">
        <f t="shared" si="12"/>
        <v>38524</v>
      </c>
      <c r="N55" s="186">
        <f t="shared" si="12"/>
        <v>136689</v>
      </c>
      <c r="O55" s="186">
        <f t="shared" si="12"/>
        <v>9603</v>
      </c>
      <c r="P55" s="186">
        <f t="shared" si="12"/>
        <v>808</v>
      </c>
      <c r="Q55" s="186">
        <f t="shared" si="12"/>
        <v>1224</v>
      </c>
      <c r="R55" s="186">
        <f t="shared" si="12"/>
        <v>54</v>
      </c>
      <c r="S55" s="186">
        <f t="shared" si="12"/>
        <v>0</v>
      </c>
      <c r="T55" s="186">
        <f t="shared" si="12"/>
        <v>9590</v>
      </c>
      <c r="U55" s="186">
        <f t="shared" si="12"/>
        <v>13660</v>
      </c>
      <c r="V55" s="186">
        <f t="shared" si="12"/>
        <v>2821</v>
      </c>
      <c r="W55" s="186">
        <f t="shared" si="12"/>
        <v>2951</v>
      </c>
      <c r="X55" s="186">
        <f t="shared" si="12"/>
        <v>41626</v>
      </c>
      <c r="Y55" s="186">
        <f t="shared" si="12"/>
        <v>210</v>
      </c>
      <c r="Z55" s="186">
        <f t="shared" si="12"/>
        <v>14980</v>
      </c>
    </row>
    <row r="56" spans="1:26" s="139" customFormat="1" ht="15.95" customHeight="1">
      <c r="A56" s="167" t="s">
        <v>1589</v>
      </c>
      <c r="B56" s="186">
        <f t="shared" si="11"/>
        <v>208926</v>
      </c>
      <c r="C56" s="186">
        <v>18221</v>
      </c>
      <c r="D56" s="186"/>
      <c r="E56" s="186">
        <v>288</v>
      </c>
      <c r="F56" s="186">
        <v>9119</v>
      </c>
      <c r="G56" s="186">
        <v>42770</v>
      </c>
      <c r="H56" s="186">
        <v>2615</v>
      </c>
      <c r="I56" s="186">
        <v>1540</v>
      </c>
      <c r="J56" s="186">
        <v>14935</v>
      </c>
      <c r="K56" s="186">
        <v>16631</v>
      </c>
      <c r="L56" s="186">
        <v>1921</v>
      </c>
      <c r="M56" s="186">
        <v>24826</v>
      </c>
      <c r="N56" s="186">
        <v>53798</v>
      </c>
      <c r="O56" s="186">
        <v>3236</v>
      </c>
      <c r="P56" s="186">
        <v>335</v>
      </c>
      <c r="Q56" s="186">
        <v>360</v>
      </c>
      <c r="R56" s="186"/>
      <c r="S56" s="186"/>
      <c r="T56" s="186">
        <v>814</v>
      </c>
      <c r="U56" s="186">
        <v>1972</v>
      </c>
      <c r="V56" s="186">
        <v>1643</v>
      </c>
      <c r="W56" s="186">
        <v>343</v>
      </c>
      <c r="X56" s="186">
        <v>8919</v>
      </c>
      <c r="Y56" s="186">
        <v>40</v>
      </c>
      <c r="Z56" s="186">
        <v>4600</v>
      </c>
    </row>
    <row r="57" spans="1:26" s="139" customFormat="1" ht="15.95" customHeight="1">
      <c r="A57" s="167" t="s">
        <v>1590</v>
      </c>
      <c r="B57" s="186">
        <f t="shared" si="11"/>
        <v>110331</v>
      </c>
      <c r="C57" s="186">
        <v>20007</v>
      </c>
      <c r="D57" s="186"/>
      <c r="E57" s="186">
        <v>66</v>
      </c>
      <c r="F57" s="186">
        <v>10951</v>
      </c>
      <c r="G57" s="186">
        <v>31764</v>
      </c>
      <c r="H57" s="186">
        <v>64</v>
      </c>
      <c r="I57" s="186">
        <v>2159</v>
      </c>
      <c r="J57" s="186">
        <v>10260</v>
      </c>
      <c r="K57" s="186">
        <v>11207</v>
      </c>
      <c r="L57" s="186">
        <v>1305</v>
      </c>
      <c r="M57" s="186">
        <v>2507</v>
      </c>
      <c r="N57" s="186">
        <v>11081</v>
      </c>
      <c r="O57" s="186">
        <v>580</v>
      </c>
      <c r="P57" s="186">
        <v>40</v>
      </c>
      <c r="Q57" s="186"/>
      <c r="R57" s="186"/>
      <c r="S57" s="186"/>
      <c r="T57" s="186">
        <v>345</v>
      </c>
      <c r="U57" s="186">
        <v>881</v>
      </c>
      <c r="V57" s="186">
        <v>11</v>
      </c>
      <c r="W57" s="186">
        <v>790</v>
      </c>
      <c r="X57" s="186">
        <v>4353</v>
      </c>
      <c r="Y57" s="186">
        <v>20</v>
      </c>
      <c r="Z57" s="186">
        <v>1940</v>
      </c>
    </row>
    <row r="58" spans="1:26" s="139" customFormat="1" ht="15.95" customHeight="1">
      <c r="A58" s="167" t="s">
        <v>1591</v>
      </c>
      <c r="B58" s="186">
        <f t="shared" si="11"/>
        <v>127648</v>
      </c>
      <c r="C58" s="186">
        <v>26495</v>
      </c>
      <c r="D58" s="186">
        <v>0</v>
      </c>
      <c r="E58" s="186">
        <v>450</v>
      </c>
      <c r="F58" s="186">
        <v>10270</v>
      </c>
      <c r="G58" s="186">
        <v>27000</v>
      </c>
      <c r="H58" s="186">
        <v>750</v>
      </c>
      <c r="I58" s="186">
        <v>1590</v>
      </c>
      <c r="J58" s="186">
        <v>18277</v>
      </c>
      <c r="K58" s="186">
        <v>11728</v>
      </c>
      <c r="L58" s="186">
        <v>780</v>
      </c>
      <c r="M58" s="186">
        <v>2300</v>
      </c>
      <c r="N58" s="186">
        <v>11290</v>
      </c>
      <c r="O58" s="186">
        <v>2249</v>
      </c>
      <c r="P58" s="186">
        <v>150</v>
      </c>
      <c r="Q58" s="186">
        <v>130</v>
      </c>
      <c r="R58" s="186">
        <v>50</v>
      </c>
      <c r="S58" s="186">
        <v>0</v>
      </c>
      <c r="T58" s="186">
        <v>3071</v>
      </c>
      <c r="U58" s="186">
        <v>3000</v>
      </c>
      <c r="V58" s="186">
        <v>200</v>
      </c>
      <c r="W58" s="186">
        <v>530</v>
      </c>
      <c r="X58" s="186">
        <v>5326</v>
      </c>
      <c r="Y58" s="186">
        <v>60</v>
      </c>
      <c r="Z58" s="186">
        <v>1952</v>
      </c>
    </row>
    <row r="59" spans="1:26" s="139" customFormat="1" ht="15.95" customHeight="1">
      <c r="A59" s="168" t="s">
        <v>1592</v>
      </c>
      <c r="B59" s="186">
        <f t="shared" si="11"/>
        <v>83143</v>
      </c>
      <c r="C59" s="186">
        <v>17024</v>
      </c>
      <c r="D59" s="186"/>
      <c r="E59" s="186">
        <v>253</v>
      </c>
      <c r="F59" s="186">
        <v>7099</v>
      </c>
      <c r="G59" s="186">
        <v>16201</v>
      </c>
      <c r="H59" s="186">
        <v>20</v>
      </c>
      <c r="I59" s="186">
        <v>1323</v>
      </c>
      <c r="J59" s="186">
        <v>10712</v>
      </c>
      <c r="K59" s="186">
        <v>6487</v>
      </c>
      <c r="L59" s="186">
        <v>1848</v>
      </c>
      <c r="M59" s="186">
        <v>1780</v>
      </c>
      <c r="N59" s="186">
        <v>11937</v>
      </c>
      <c r="O59" s="186">
        <v>500</v>
      </c>
      <c r="P59" s="186">
        <v>30</v>
      </c>
      <c r="Q59" s="186">
        <v>163</v>
      </c>
      <c r="R59" s="186"/>
      <c r="S59" s="186"/>
      <c r="T59" s="186">
        <v>634</v>
      </c>
      <c r="U59" s="186">
        <v>1786</v>
      </c>
      <c r="V59" s="186"/>
      <c r="W59" s="186">
        <v>195</v>
      </c>
      <c r="X59" s="186">
        <v>5131</v>
      </c>
      <c r="Y59" s="186">
        <v>20</v>
      </c>
      <c r="Z59" s="186"/>
    </row>
    <row r="60" spans="1:26" s="140" customFormat="1" ht="15.95" customHeight="1">
      <c r="A60" s="167" t="s">
        <v>1593</v>
      </c>
      <c r="B60" s="186">
        <f t="shared" si="11"/>
        <v>122997</v>
      </c>
      <c r="C60" s="186">
        <v>18228</v>
      </c>
      <c r="D60" s="186">
        <v>0</v>
      </c>
      <c r="E60" s="186">
        <v>155</v>
      </c>
      <c r="F60" s="186">
        <v>14026</v>
      </c>
      <c r="G60" s="186">
        <v>25147</v>
      </c>
      <c r="H60" s="186">
        <v>51</v>
      </c>
      <c r="I60" s="186">
        <v>1634</v>
      </c>
      <c r="J60" s="186">
        <v>15107</v>
      </c>
      <c r="K60" s="186">
        <v>11131</v>
      </c>
      <c r="L60" s="186">
        <v>2443</v>
      </c>
      <c r="M60" s="186">
        <v>1440</v>
      </c>
      <c r="N60" s="186">
        <v>22954</v>
      </c>
      <c r="O60" s="186">
        <v>693</v>
      </c>
      <c r="P60" s="186">
        <v>40</v>
      </c>
      <c r="Q60" s="186">
        <v>86</v>
      </c>
      <c r="R60" s="186">
        <v>0</v>
      </c>
      <c r="S60" s="186">
        <v>0</v>
      </c>
      <c r="T60" s="186">
        <v>1115</v>
      </c>
      <c r="U60" s="186">
        <v>1125</v>
      </c>
      <c r="V60" s="186">
        <v>863</v>
      </c>
      <c r="W60" s="186">
        <v>521</v>
      </c>
      <c r="X60" s="186">
        <v>4718</v>
      </c>
      <c r="Y60" s="186">
        <v>20</v>
      </c>
      <c r="Z60" s="186">
        <v>1500</v>
      </c>
    </row>
    <row r="61" spans="1:26" s="140" customFormat="1" ht="15.95" customHeight="1">
      <c r="A61" s="168" t="s">
        <v>1594</v>
      </c>
      <c r="B61" s="186">
        <v>133263</v>
      </c>
      <c r="C61" s="186">
        <v>19137</v>
      </c>
      <c r="D61" s="186"/>
      <c r="E61" s="186">
        <v>5</v>
      </c>
      <c r="F61" s="186">
        <v>10262</v>
      </c>
      <c r="G61" s="186">
        <v>31251</v>
      </c>
      <c r="H61" s="186">
        <v>115</v>
      </c>
      <c r="I61" s="186">
        <v>3702</v>
      </c>
      <c r="J61" s="186">
        <v>13185</v>
      </c>
      <c r="K61" s="186">
        <v>8819</v>
      </c>
      <c r="L61" s="186">
        <v>6017</v>
      </c>
      <c r="M61" s="186">
        <v>4491</v>
      </c>
      <c r="N61" s="186">
        <v>17898</v>
      </c>
      <c r="O61" s="186">
        <v>1873</v>
      </c>
      <c r="P61" s="186">
        <v>173</v>
      </c>
      <c r="Q61" s="186">
        <v>298</v>
      </c>
      <c r="R61" s="186">
        <v>4</v>
      </c>
      <c r="S61" s="186"/>
      <c r="T61" s="186">
        <v>1861</v>
      </c>
      <c r="U61" s="186">
        <v>4185</v>
      </c>
      <c r="V61" s="186">
        <v>104</v>
      </c>
      <c r="W61" s="186">
        <v>342</v>
      </c>
      <c r="X61" s="186">
        <v>8158</v>
      </c>
      <c r="Y61" s="186">
        <v>50</v>
      </c>
      <c r="Z61" s="186">
        <v>1333</v>
      </c>
    </row>
    <row r="62" spans="1:26" s="132" customFormat="1" ht="12">
      <c r="A62" s="168" t="s">
        <v>1595</v>
      </c>
      <c r="B62" s="186">
        <f>SUM(C62:Z62)</f>
        <v>108834</v>
      </c>
      <c r="C62" s="186">
        <v>21833</v>
      </c>
      <c r="D62" s="186">
        <v>0</v>
      </c>
      <c r="E62" s="186">
        <v>149</v>
      </c>
      <c r="F62" s="186">
        <v>11342</v>
      </c>
      <c r="G62" s="186">
        <v>25147</v>
      </c>
      <c r="H62" s="186">
        <v>121</v>
      </c>
      <c r="I62" s="186">
        <v>2797</v>
      </c>
      <c r="J62" s="186">
        <v>14093</v>
      </c>
      <c r="K62" s="186">
        <v>11400</v>
      </c>
      <c r="L62" s="186">
        <v>975</v>
      </c>
      <c r="M62" s="186">
        <v>1180</v>
      </c>
      <c r="N62" s="186">
        <v>7731</v>
      </c>
      <c r="O62" s="186">
        <v>472</v>
      </c>
      <c r="P62" s="186">
        <v>40</v>
      </c>
      <c r="Q62" s="186">
        <v>187</v>
      </c>
      <c r="R62" s="186">
        <v>0</v>
      </c>
      <c r="S62" s="186">
        <v>0</v>
      </c>
      <c r="T62" s="186">
        <v>1750</v>
      </c>
      <c r="U62" s="186">
        <v>711</v>
      </c>
      <c r="V62" s="186">
        <v>0</v>
      </c>
      <c r="W62" s="186">
        <v>230</v>
      </c>
      <c r="X62" s="186">
        <v>5021</v>
      </c>
      <c r="Y62" s="186">
        <v>0</v>
      </c>
      <c r="Z62" s="186">
        <v>3655</v>
      </c>
    </row>
    <row r="63" spans="1:26" s="132" customFormat="1" ht="12">
      <c r="A63" s="161" t="s">
        <v>1671</v>
      </c>
      <c r="B63" s="153">
        <f>B64+B65</f>
        <v>812405</v>
      </c>
      <c r="C63" s="153">
        <f t="shared" ref="C63:Z63" si="13">C64+C65</f>
        <v>102523</v>
      </c>
      <c r="D63" s="153">
        <f t="shared" si="13"/>
        <v>0</v>
      </c>
      <c r="E63" s="153">
        <f t="shared" si="13"/>
        <v>1119</v>
      </c>
      <c r="F63" s="153">
        <f t="shared" si="13"/>
        <v>103433</v>
      </c>
      <c r="G63" s="153">
        <f t="shared" si="13"/>
        <v>122553</v>
      </c>
      <c r="H63" s="153">
        <f t="shared" si="13"/>
        <v>5617</v>
      </c>
      <c r="I63" s="153">
        <f t="shared" si="13"/>
        <v>17968</v>
      </c>
      <c r="J63" s="153">
        <f t="shared" si="13"/>
        <v>101452</v>
      </c>
      <c r="K63" s="153">
        <f t="shared" si="13"/>
        <v>67013</v>
      </c>
      <c r="L63" s="153">
        <f t="shared" si="13"/>
        <v>14720</v>
      </c>
      <c r="M63" s="153">
        <f t="shared" si="13"/>
        <v>21295</v>
      </c>
      <c r="N63" s="153">
        <f t="shared" si="13"/>
        <v>80784</v>
      </c>
      <c r="O63" s="153">
        <f t="shared" si="13"/>
        <v>90281</v>
      </c>
      <c r="P63" s="153">
        <f t="shared" si="13"/>
        <v>5830</v>
      </c>
      <c r="Q63" s="153">
        <f t="shared" si="13"/>
        <v>3022</v>
      </c>
      <c r="R63" s="153">
        <f t="shared" si="13"/>
        <v>0</v>
      </c>
      <c r="S63" s="153">
        <f t="shared" si="13"/>
        <v>0</v>
      </c>
      <c r="T63" s="153">
        <f t="shared" si="13"/>
        <v>3955</v>
      </c>
      <c r="U63" s="153">
        <f t="shared" si="13"/>
        <v>11132</v>
      </c>
      <c r="V63" s="153">
        <f t="shared" si="13"/>
        <v>1214</v>
      </c>
      <c r="W63" s="153">
        <f t="shared" si="13"/>
        <v>1900</v>
      </c>
      <c r="X63" s="153">
        <f t="shared" si="13"/>
        <v>41519</v>
      </c>
      <c r="Y63" s="153">
        <f t="shared" si="13"/>
        <v>0</v>
      </c>
      <c r="Z63" s="153">
        <f t="shared" si="13"/>
        <v>15075</v>
      </c>
    </row>
    <row r="64" spans="1:26" s="132" customFormat="1" ht="12">
      <c r="A64" s="167" t="s">
        <v>1193</v>
      </c>
      <c r="B64" s="153">
        <f t="shared" ref="B64:B69" si="14">SUM(C64:Z64)</f>
        <v>211163</v>
      </c>
      <c r="C64" s="153">
        <v>20410</v>
      </c>
      <c r="D64" s="153">
        <v>0</v>
      </c>
      <c r="E64" s="153">
        <v>673</v>
      </c>
      <c r="F64" s="153">
        <v>18660</v>
      </c>
      <c r="G64" s="153">
        <v>14740</v>
      </c>
      <c r="H64" s="153">
        <v>639</v>
      </c>
      <c r="I64" s="153">
        <v>9734</v>
      </c>
      <c r="J64" s="153">
        <v>19470</v>
      </c>
      <c r="K64" s="153">
        <v>13083</v>
      </c>
      <c r="L64" s="153">
        <v>868</v>
      </c>
      <c r="M64" s="153">
        <v>246</v>
      </c>
      <c r="N64" s="153">
        <v>9495</v>
      </c>
      <c r="O64" s="153">
        <v>88435</v>
      </c>
      <c r="P64" s="153">
        <v>1832</v>
      </c>
      <c r="Q64" s="153">
        <v>230</v>
      </c>
      <c r="R64" s="153">
        <v>0</v>
      </c>
      <c r="S64" s="153">
        <v>0</v>
      </c>
      <c r="T64" s="153">
        <v>1416</v>
      </c>
      <c r="U64" s="153"/>
      <c r="V64" s="153"/>
      <c r="W64" s="153">
        <v>420</v>
      </c>
      <c r="X64" s="153">
        <v>8612</v>
      </c>
      <c r="Y64" s="153"/>
      <c r="Z64" s="153">
        <v>2200</v>
      </c>
    </row>
    <row r="65" spans="1:28" s="132" customFormat="1" ht="12">
      <c r="A65" s="167" t="s">
        <v>1194</v>
      </c>
      <c r="B65" s="153">
        <f>SUM(B66:B69)</f>
        <v>601242</v>
      </c>
      <c r="C65" s="153">
        <f t="shared" ref="C65:Z65" si="15">SUM(C66:C69)</f>
        <v>82113</v>
      </c>
      <c r="D65" s="153">
        <f t="shared" si="15"/>
        <v>0</v>
      </c>
      <c r="E65" s="153">
        <f t="shared" si="15"/>
        <v>446</v>
      </c>
      <c r="F65" s="153">
        <f t="shared" si="15"/>
        <v>84773</v>
      </c>
      <c r="G65" s="153">
        <f t="shared" si="15"/>
        <v>107813</v>
      </c>
      <c r="H65" s="153">
        <f t="shared" si="15"/>
        <v>4978</v>
      </c>
      <c r="I65" s="153">
        <f t="shared" si="15"/>
        <v>8234</v>
      </c>
      <c r="J65" s="153">
        <f t="shared" si="15"/>
        <v>81982</v>
      </c>
      <c r="K65" s="153">
        <f t="shared" si="15"/>
        <v>53930</v>
      </c>
      <c r="L65" s="153">
        <f t="shared" si="15"/>
        <v>13852</v>
      </c>
      <c r="M65" s="153">
        <f t="shared" si="15"/>
        <v>21049</v>
      </c>
      <c r="N65" s="153">
        <f t="shared" si="15"/>
        <v>71289</v>
      </c>
      <c r="O65" s="153">
        <f t="shared" si="15"/>
        <v>1846</v>
      </c>
      <c r="P65" s="153">
        <f t="shared" si="15"/>
        <v>3998</v>
      </c>
      <c r="Q65" s="153">
        <f t="shared" si="15"/>
        <v>2792</v>
      </c>
      <c r="R65" s="153">
        <f t="shared" si="15"/>
        <v>0</v>
      </c>
      <c r="S65" s="153">
        <f t="shared" si="15"/>
        <v>0</v>
      </c>
      <c r="T65" s="153">
        <f t="shared" si="15"/>
        <v>2539</v>
      </c>
      <c r="U65" s="153">
        <f t="shared" si="15"/>
        <v>11132</v>
      </c>
      <c r="V65" s="153">
        <f t="shared" si="15"/>
        <v>1214</v>
      </c>
      <c r="W65" s="153">
        <f t="shared" si="15"/>
        <v>1480</v>
      </c>
      <c r="X65" s="153">
        <f t="shared" si="15"/>
        <v>32907</v>
      </c>
      <c r="Y65" s="153">
        <f t="shared" si="15"/>
        <v>0</v>
      </c>
      <c r="Z65" s="153">
        <f t="shared" si="15"/>
        <v>12875</v>
      </c>
    </row>
    <row r="66" spans="1:28" s="132" customFormat="1" ht="12">
      <c r="A66" s="167" t="s">
        <v>1596</v>
      </c>
      <c r="B66" s="153">
        <f t="shared" si="14"/>
        <v>249664</v>
      </c>
      <c r="C66" s="153">
        <v>31209</v>
      </c>
      <c r="D66" s="153"/>
      <c r="E66" s="153">
        <v>196</v>
      </c>
      <c r="F66" s="153">
        <v>34889</v>
      </c>
      <c r="G66" s="153">
        <v>49713</v>
      </c>
      <c r="H66" s="153">
        <v>121</v>
      </c>
      <c r="I66" s="153">
        <v>2258</v>
      </c>
      <c r="J66" s="153">
        <v>46488</v>
      </c>
      <c r="K66" s="153">
        <v>18515</v>
      </c>
      <c r="L66" s="153">
        <v>579</v>
      </c>
      <c r="M66" s="153">
        <v>6145</v>
      </c>
      <c r="N66" s="174">
        <v>25135</v>
      </c>
      <c r="O66" s="153">
        <v>1060</v>
      </c>
      <c r="P66" s="153">
        <v>3829</v>
      </c>
      <c r="Q66" s="153">
        <v>625</v>
      </c>
      <c r="R66" s="153"/>
      <c r="S66" s="153"/>
      <c r="T66" s="153">
        <v>629</v>
      </c>
      <c r="U66" s="153">
        <v>4283</v>
      </c>
      <c r="V66" s="153"/>
      <c r="W66" s="153">
        <v>425</v>
      </c>
      <c r="X66" s="153">
        <v>11893</v>
      </c>
      <c r="Y66" s="153"/>
      <c r="Z66" s="153">
        <f>3000+8672</f>
        <v>11672</v>
      </c>
    </row>
    <row r="67" spans="1:28" s="132" customFormat="1" ht="12">
      <c r="A67" s="167" t="s">
        <v>1597</v>
      </c>
      <c r="B67" s="153">
        <f t="shared" si="14"/>
        <v>148857</v>
      </c>
      <c r="C67" s="153">
        <v>16140</v>
      </c>
      <c r="D67" s="153"/>
      <c r="E67" s="153"/>
      <c r="F67" s="153">
        <v>17232</v>
      </c>
      <c r="G67" s="153">
        <v>29365</v>
      </c>
      <c r="H67" s="153">
        <v>2652</v>
      </c>
      <c r="I67" s="153">
        <v>2390</v>
      </c>
      <c r="J67" s="153">
        <v>23327</v>
      </c>
      <c r="K67" s="153">
        <v>20943</v>
      </c>
      <c r="L67" s="153">
        <v>396</v>
      </c>
      <c r="M67" s="153">
        <v>1414</v>
      </c>
      <c r="N67" s="153">
        <v>18656</v>
      </c>
      <c r="O67" s="153">
        <v>349</v>
      </c>
      <c r="P67" s="153">
        <v>53</v>
      </c>
      <c r="Q67" s="153">
        <v>500</v>
      </c>
      <c r="R67" s="153"/>
      <c r="S67" s="153"/>
      <c r="T67" s="153">
        <v>347</v>
      </c>
      <c r="U67" s="174">
        <v>5561</v>
      </c>
      <c r="V67" s="153"/>
      <c r="W67" s="153">
        <v>445</v>
      </c>
      <c r="X67" s="153">
        <v>9021</v>
      </c>
      <c r="Y67" s="153"/>
      <c r="Z67" s="153">
        <v>66</v>
      </c>
    </row>
    <row r="68" spans="1:28" s="132" customFormat="1" ht="12">
      <c r="A68" s="167" t="s">
        <v>1598</v>
      </c>
      <c r="B68" s="153">
        <f t="shared" si="14"/>
        <v>112561</v>
      </c>
      <c r="C68" s="153">
        <v>16948</v>
      </c>
      <c r="D68" s="153">
        <v>0</v>
      </c>
      <c r="E68" s="153">
        <v>160</v>
      </c>
      <c r="F68" s="153">
        <v>12926</v>
      </c>
      <c r="G68" s="153">
        <v>25197</v>
      </c>
      <c r="H68" s="153">
        <v>376</v>
      </c>
      <c r="I68" s="153">
        <v>1981</v>
      </c>
      <c r="J68" s="153">
        <v>10047</v>
      </c>
      <c r="K68" s="153">
        <v>8592</v>
      </c>
      <c r="L68" s="153">
        <v>1839</v>
      </c>
      <c r="M68" s="153">
        <v>652</v>
      </c>
      <c r="N68" s="153">
        <v>23847</v>
      </c>
      <c r="O68" s="153">
        <v>252</v>
      </c>
      <c r="P68" s="153">
        <v>0</v>
      </c>
      <c r="Q68" s="153">
        <v>56</v>
      </c>
      <c r="R68" s="153">
        <v>0</v>
      </c>
      <c r="S68" s="153">
        <v>0</v>
      </c>
      <c r="T68" s="153">
        <v>1307</v>
      </c>
      <c r="U68" s="153">
        <v>960</v>
      </c>
      <c r="V68" s="153">
        <v>1195</v>
      </c>
      <c r="W68" s="153">
        <v>182</v>
      </c>
      <c r="X68" s="153">
        <v>5991</v>
      </c>
      <c r="Y68" s="153">
        <v>0</v>
      </c>
      <c r="Z68" s="153">
        <v>53</v>
      </c>
    </row>
    <row r="69" spans="1:28" s="142" customFormat="1">
      <c r="A69" s="167" t="s">
        <v>1599</v>
      </c>
      <c r="B69" s="153">
        <f t="shared" si="14"/>
        <v>90160</v>
      </c>
      <c r="C69" s="153">
        <v>17816</v>
      </c>
      <c r="D69" s="153"/>
      <c r="E69" s="153">
        <v>90</v>
      </c>
      <c r="F69" s="153">
        <v>19726</v>
      </c>
      <c r="G69" s="153">
        <v>3538</v>
      </c>
      <c r="H69" s="153">
        <v>1829</v>
      </c>
      <c r="I69" s="153">
        <v>1605</v>
      </c>
      <c r="J69" s="153">
        <v>2120</v>
      </c>
      <c r="K69" s="153">
        <v>5880</v>
      </c>
      <c r="L69" s="153">
        <v>11038</v>
      </c>
      <c r="M69" s="174">
        <v>12838</v>
      </c>
      <c r="N69" s="153">
        <v>3651</v>
      </c>
      <c r="O69" s="153">
        <v>185</v>
      </c>
      <c r="P69" s="153">
        <v>116</v>
      </c>
      <c r="Q69" s="153">
        <v>1611</v>
      </c>
      <c r="R69" s="153"/>
      <c r="S69" s="153"/>
      <c r="T69" s="153">
        <v>256</v>
      </c>
      <c r="U69" s="153">
        <v>328</v>
      </c>
      <c r="V69" s="153">
        <v>19</v>
      </c>
      <c r="W69" s="153">
        <v>428</v>
      </c>
      <c r="X69" s="153">
        <v>6002</v>
      </c>
      <c r="Y69" s="153"/>
      <c r="Z69" s="153">
        <v>1084</v>
      </c>
    </row>
    <row r="70" spans="1:28" s="142" customFormat="1">
      <c r="A70" s="161" t="s">
        <v>1650</v>
      </c>
      <c r="B70" s="153">
        <f>B71+B72</f>
        <v>2240147</v>
      </c>
      <c r="C70" s="153">
        <f>SUM(C71:C72)</f>
        <v>274737</v>
      </c>
      <c r="D70" s="153">
        <f t="shared" ref="D70:Z70" si="16">SUM(D71:D72)</f>
        <v>0</v>
      </c>
      <c r="E70" s="153">
        <f t="shared" si="16"/>
        <v>1711</v>
      </c>
      <c r="F70" s="153">
        <f t="shared" si="16"/>
        <v>222956</v>
      </c>
      <c r="G70" s="153">
        <f t="shared" si="16"/>
        <v>379322</v>
      </c>
      <c r="H70" s="153">
        <f t="shared" si="16"/>
        <v>31677</v>
      </c>
      <c r="I70" s="153">
        <f t="shared" si="16"/>
        <v>39205</v>
      </c>
      <c r="J70" s="153">
        <f t="shared" si="16"/>
        <v>252666</v>
      </c>
      <c r="K70" s="153">
        <f t="shared" si="16"/>
        <v>203577</v>
      </c>
      <c r="L70" s="153">
        <f t="shared" si="16"/>
        <v>27563</v>
      </c>
      <c r="M70" s="153">
        <f t="shared" si="16"/>
        <v>220934</v>
      </c>
      <c r="N70" s="153">
        <f t="shared" si="16"/>
        <v>243584</v>
      </c>
      <c r="O70" s="153">
        <f t="shared" si="16"/>
        <v>61351</v>
      </c>
      <c r="P70" s="153">
        <f t="shared" si="16"/>
        <v>31914</v>
      </c>
      <c r="Q70" s="153">
        <f t="shared" si="16"/>
        <v>5172</v>
      </c>
      <c r="R70" s="153">
        <f t="shared" si="16"/>
        <v>63</v>
      </c>
      <c r="S70" s="153">
        <f t="shared" si="16"/>
        <v>0</v>
      </c>
      <c r="T70" s="153">
        <f t="shared" si="16"/>
        <v>18899</v>
      </c>
      <c r="U70" s="153">
        <f t="shared" si="16"/>
        <v>66111</v>
      </c>
      <c r="V70" s="153">
        <f t="shared" si="16"/>
        <v>6805</v>
      </c>
      <c r="W70" s="153">
        <f t="shared" si="16"/>
        <v>18357</v>
      </c>
      <c r="X70" s="153">
        <f t="shared" si="16"/>
        <v>60620</v>
      </c>
      <c r="Y70" s="153">
        <f t="shared" si="16"/>
        <v>146</v>
      </c>
      <c r="Z70" s="153">
        <f t="shared" si="16"/>
        <v>72777</v>
      </c>
      <c r="AB70" s="142">
        <f>SUM(C71:Z71)-B71</f>
        <v>0</v>
      </c>
    </row>
    <row r="71" spans="1:28" s="142" customFormat="1">
      <c r="A71" s="167" t="s">
        <v>1651</v>
      </c>
      <c r="B71" s="153">
        <f>SUM(C71:Z71)</f>
        <v>415453</v>
      </c>
      <c r="C71" s="153">
        <v>55382</v>
      </c>
      <c r="D71" s="153"/>
      <c r="E71" s="153">
        <v>520</v>
      </c>
      <c r="F71" s="153">
        <v>29000</v>
      </c>
      <c r="G71" s="153">
        <v>52850</v>
      </c>
      <c r="H71" s="153">
        <v>1980</v>
      </c>
      <c r="I71" s="153">
        <v>14900</v>
      </c>
      <c r="J71" s="153">
        <v>66500</v>
      </c>
      <c r="K71" s="153">
        <v>64550</v>
      </c>
      <c r="L71" s="153">
        <v>4620</v>
      </c>
      <c r="M71" s="153">
        <v>1230</v>
      </c>
      <c r="N71" s="153">
        <v>15508</v>
      </c>
      <c r="O71" s="153">
        <v>50850</v>
      </c>
      <c r="P71" s="153">
        <v>25599</v>
      </c>
      <c r="Q71" s="153">
        <v>680</v>
      </c>
      <c r="R71" s="153"/>
      <c r="S71" s="153"/>
      <c r="T71" s="153">
        <v>3550</v>
      </c>
      <c r="U71" s="153">
        <v>3098</v>
      </c>
      <c r="V71" s="153">
        <v>850</v>
      </c>
      <c r="W71" s="153">
        <v>6152</v>
      </c>
      <c r="X71" s="153">
        <v>10538</v>
      </c>
      <c r="Y71" s="153">
        <v>26</v>
      </c>
      <c r="Z71" s="153">
        <v>7070</v>
      </c>
    </row>
    <row r="72" spans="1:28" s="142" customFormat="1">
      <c r="A72" s="167" t="s">
        <v>1194</v>
      </c>
      <c r="B72" s="153">
        <f>SUM(B73:B81)</f>
        <v>1824694</v>
      </c>
      <c r="C72" s="153">
        <f t="shared" ref="C72:Z72" si="17">SUM(C73:C81)</f>
        <v>219355</v>
      </c>
      <c r="D72" s="153">
        <f t="shared" si="17"/>
        <v>0</v>
      </c>
      <c r="E72" s="153">
        <f t="shared" si="17"/>
        <v>1191</v>
      </c>
      <c r="F72" s="153">
        <f t="shared" si="17"/>
        <v>193956</v>
      </c>
      <c r="G72" s="153">
        <f t="shared" si="17"/>
        <v>326472</v>
      </c>
      <c r="H72" s="153">
        <f t="shared" si="17"/>
        <v>29697</v>
      </c>
      <c r="I72" s="153">
        <f t="shared" si="17"/>
        <v>24305</v>
      </c>
      <c r="J72" s="153">
        <f t="shared" si="17"/>
        <v>186166</v>
      </c>
      <c r="K72" s="153">
        <f t="shared" si="17"/>
        <v>139027</v>
      </c>
      <c r="L72" s="153">
        <f t="shared" si="17"/>
        <v>22943</v>
      </c>
      <c r="M72" s="153">
        <f t="shared" si="17"/>
        <v>219704</v>
      </c>
      <c r="N72" s="153">
        <f t="shared" si="17"/>
        <v>228076</v>
      </c>
      <c r="O72" s="153">
        <f t="shared" si="17"/>
        <v>10501</v>
      </c>
      <c r="P72" s="153">
        <f t="shared" si="17"/>
        <v>6315</v>
      </c>
      <c r="Q72" s="153">
        <f t="shared" si="17"/>
        <v>4492</v>
      </c>
      <c r="R72" s="153">
        <f t="shared" si="17"/>
        <v>63</v>
      </c>
      <c r="S72" s="153">
        <f t="shared" si="17"/>
        <v>0</v>
      </c>
      <c r="T72" s="153">
        <f t="shared" si="17"/>
        <v>15349</v>
      </c>
      <c r="U72" s="153">
        <f t="shared" si="17"/>
        <v>63013</v>
      </c>
      <c r="V72" s="153">
        <f t="shared" si="17"/>
        <v>5955</v>
      </c>
      <c r="W72" s="153">
        <f t="shared" si="17"/>
        <v>12205</v>
      </c>
      <c r="X72" s="153">
        <f t="shared" si="17"/>
        <v>50082</v>
      </c>
      <c r="Y72" s="153">
        <f t="shared" si="17"/>
        <v>120</v>
      </c>
      <c r="Z72" s="153">
        <f t="shared" si="17"/>
        <v>65707</v>
      </c>
    </row>
    <row r="73" spans="1:28" s="142" customFormat="1">
      <c r="A73" s="167" t="s">
        <v>1652</v>
      </c>
      <c r="B73" s="153">
        <f t="shared" ref="B73:B81" si="18">SUM(C73:Z73)</f>
        <v>183265</v>
      </c>
      <c r="C73" s="153">
        <v>24857</v>
      </c>
      <c r="D73" s="153"/>
      <c r="E73" s="153"/>
      <c r="F73" s="153">
        <v>27299</v>
      </c>
      <c r="G73" s="153">
        <v>35453</v>
      </c>
      <c r="H73" s="153">
        <v>745</v>
      </c>
      <c r="I73" s="153">
        <v>3136</v>
      </c>
      <c r="J73" s="153">
        <v>32319</v>
      </c>
      <c r="K73" s="153">
        <v>11934</v>
      </c>
      <c r="L73" s="153">
        <v>672</v>
      </c>
      <c r="M73" s="153">
        <v>8099</v>
      </c>
      <c r="N73" s="153">
        <v>21763</v>
      </c>
      <c r="O73" s="153">
        <v>1470</v>
      </c>
      <c r="P73" s="153"/>
      <c r="Q73" s="153"/>
      <c r="R73" s="153">
        <v>45</v>
      </c>
      <c r="S73" s="153"/>
      <c r="T73" s="153">
        <v>2348</v>
      </c>
      <c r="U73" s="153">
        <v>2626</v>
      </c>
      <c r="V73" s="153"/>
      <c r="W73" s="153">
        <v>1390</v>
      </c>
      <c r="X73" s="153">
        <v>5609</v>
      </c>
      <c r="Y73" s="153"/>
      <c r="Z73" s="153">
        <v>3500</v>
      </c>
    </row>
    <row r="74" spans="1:28" s="142" customFormat="1">
      <c r="A74" s="167" t="s">
        <v>1653</v>
      </c>
      <c r="B74" s="153">
        <f t="shared" si="18"/>
        <v>187086</v>
      </c>
      <c r="C74" s="153">
        <v>25614</v>
      </c>
      <c r="D74" s="153"/>
      <c r="E74" s="153"/>
      <c r="F74" s="153">
        <v>19478</v>
      </c>
      <c r="G74" s="153">
        <v>38310</v>
      </c>
      <c r="H74" s="153">
        <v>150</v>
      </c>
      <c r="I74" s="153">
        <v>1264</v>
      </c>
      <c r="J74" s="153">
        <v>29569</v>
      </c>
      <c r="K74" s="153">
        <v>8254</v>
      </c>
      <c r="L74" s="153">
        <v>1266</v>
      </c>
      <c r="M74" s="153">
        <v>29252</v>
      </c>
      <c r="N74" s="153">
        <v>19933</v>
      </c>
      <c r="O74" s="153">
        <v>956</v>
      </c>
      <c r="P74" s="153">
        <v>925</v>
      </c>
      <c r="Q74" s="153">
        <v>1745</v>
      </c>
      <c r="R74" s="153"/>
      <c r="S74" s="153"/>
      <c r="T74" s="153">
        <v>869</v>
      </c>
      <c r="U74" s="153">
        <v>4459</v>
      </c>
      <c r="V74" s="153">
        <v>838</v>
      </c>
      <c r="W74" s="153">
        <v>499</v>
      </c>
      <c r="X74" s="153">
        <v>3705</v>
      </c>
      <c r="Y74" s="153"/>
      <c r="Z74" s="153"/>
    </row>
    <row r="75" spans="1:28" s="142" customFormat="1">
      <c r="A75" s="167" t="s">
        <v>1654</v>
      </c>
      <c r="B75" s="153">
        <f t="shared" si="18"/>
        <v>428722</v>
      </c>
      <c r="C75" s="153">
        <v>57279</v>
      </c>
      <c r="D75" s="153">
        <v>0</v>
      </c>
      <c r="E75" s="153">
        <v>100</v>
      </c>
      <c r="F75" s="153">
        <v>72097</v>
      </c>
      <c r="G75" s="153">
        <v>65295</v>
      </c>
      <c r="H75" s="153">
        <v>2382</v>
      </c>
      <c r="I75" s="153">
        <v>3349</v>
      </c>
      <c r="J75" s="153">
        <v>48078</v>
      </c>
      <c r="K75" s="153">
        <v>36936</v>
      </c>
      <c r="L75" s="153">
        <v>3567</v>
      </c>
      <c r="M75" s="153">
        <v>51076</v>
      </c>
      <c r="N75" s="153">
        <v>22766</v>
      </c>
      <c r="O75" s="153">
        <v>2029</v>
      </c>
      <c r="P75" s="153">
        <v>950</v>
      </c>
      <c r="Q75" s="153">
        <v>2229</v>
      </c>
      <c r="R75" s="153"/>
      <c r="S75" s="153"/>
      <c r="T75" s="153">
        <v>2907</v>
      </c>
      <c r="U75" s="153">
        <v>835</v>
      </c>
      <c r="V75" s="153">
        <v>335</v>
      </c>
      <c r="W75" s="153">
        <v>3909</v>
      </c>
      <c r="X75" s="153">
        <v>13028</v>
      </c>
      <c r="Y75" s="153">
        <v>100</v>
      </c>
      <c r="Z75" s="153">
        <v>39475</v>
      </c>
    </row>
    <row r="76" spans="1:28" s="142" customFormat="1">
      <c r="A76" s="168" t="s">
        <v>1655</v>
      </c>
      <c r="B76" s="153">
        <f t="shared" si="18"/>
        <v>235585</v>
      </c>
      <c r="C76" s="153">
        <v>23941</v>
      </c>
      <c r="D76" s="153"/>
      <c r="E76" s="153">
        <v>40</v>
      </c>
      <c r="F76" s="153">
        <v>20659</v>
      </c>
      <c r="G76" s="153">
        <v>43625</v>
      </c>
      <c r="H76" s="153">
        <v>3073</v>
      </c>
      <c r="I76" s="153">
        <v>1914</v>
      </c>
      <c r="J76" s="153">
        <v>16574</v>
      </c>
      <c r="K76" s="153">
        <v>15300</v>
      </c>
      <c r="L76" s="153">
        <v>6844</v>
      </c>
      <c r="M76" s="153">
        <v>39875</v>
      </c>
      <c r="N76" s="153">
        <v>28393</v>
      </c>
      <c r="O76" s="153">
        <v>2751</v>
      </c>
      <c r="P76" s="153">
        <v>488</v>
      </c>
      <c r="Q76" s="153">
        <v>115</v>
      </c>
      <c r="R76" s="153">
        <v>18</v>
      </c>
      <c r="S76" s="153"/>
      <c r="T76" s="153">
        <v>5120</v>
      </c>
      <c r="U76" s="153">
        <v>14801</v>
      </c>
      <c r="V76" s="153">
        <v>685</v>
      </c>
      <c r="W76" s="153">
        <v>1709</v>
      </c>
      <c r="X76" s="153">
        <v>6540</v>
      </c>
      <c r="Y76" s="153">
        <v>20</v>
      </c>
      <c r="Z76" s="153">
        <v>3100</v>
      </c>
    </row>
    <row r="77" spans="1:28" s="142" customFormat="1">
      <c r="A77" s="168" t="s">
        <v>1656</v>
      </c>
      <c r="B77" s="153">
        <f t="shared" si="18"/>
        <v>284644</v>
      </c>
      <c r="C77" s="153">
        <v>29969</v>
      </c>
      <c r="D77" s="153"/>
      <c r="E77" s="153">
        <v>265</v>
      </c>
      <c r="F77" s="153">
        <v>31530</v>
      </c>
      <c r="G77" s="153">
        <v>47946</v>
      </c>
      <c r="H77" s="153">
        <v>3965</v>
      </c>
      <c r="I77" s="153">
        <v>9493</v>
      </c>
      <c r="J77" s="153">
        <v>27506</v>
      </c>
      <c r="K77" s="153">
        <v>27379</v>
      </c>
      <c r="L77" s="153">
        <v>4538</v>
      </c>
      <c r="M77" s="153">
        <v>11743</v>
      </c>
      <c r="N77" s="153">
        <v>35037</v>
      </c>
      <c r="O77" s="153">
        <v>1613</v>
      </c>
      <c r="P77" s="153"/>
      <c r="Q77" s="153">
        <v>257</v>
      </c>
      <c r="R77" s="153"/>
      <c r="S77" s="153"/>
      <c r="T77" s="153">
        <v>1302</v>
      </c>
      <c r="U77" s="153">
        <v>33941</v>
      </c>
      <c r="V77" s="153">
        <v>1004</v>
      </c>
      <c r="W77" s="153">
        <v>1651</v>
      </c>
      <c r="X77" s="153">
        <v>4796</v>
      </c>
      <c r="Y77" s="153"/>
      <c r="Z77" s="153">
        <v>10709</v>
      </c>
    </row>
    <row r="78" spans="1:28" s="142" customFormat="1">
      <c r="A78" s="168" t="s">
        <v>1657</v>
      </c>
      <c r="B78" s="153">
        <f t="shared" si="18"/>
        <v>211516</v>
      </c>
      <c r="C78" s="153">
        <v>15560</v>
      </c>
      <c r="D78" s="153"/>
      <c r="E78" s="153">
        <v>368</v>
      </c>
      <c r="F78" s="153">
        <v>5611</v>
      </c>
      <c r="G78" s="153">
        <v>55078</v>
      </c>
      <c r="H78" s="153">
        <v>132</v>
      </c>
      <c r="I78" s="153">
        <v>2580</v>
      </c>
      <c r="J78" s="153">
        <v>18881</v>
      </c>
      <c r="K78" s="153">
        <v>26520</v>
      </c>
      <c r="L78" s="153">
        <v>2794</v>
      </c>
      <c r="M78" s="153">
        <v>5273</v>
      </c>
      <c r="N78" s="153">
        <v>56049</v>
      </c>
      <c r="O78" s="153">
        <v>1270</v>
      </c>
      <c r="P78" s="153">
        <v>346</v>
      </c>
      <c r="Q78" s="153">
        <v>84</v>
      </c>
      <c r="R78" s="153"/>
      <c r="S78" s="153"/>
      <c r="T78" s="153">
        <v>1565</v>
      </c>
      <c r="U78" s="153">
        <v>5208</v>
      </c>
      <c r="V78" s="153">
        <v>3093</v>
      </c>
      <c r="W78" s="153">
        <v>929</v>
      </c>
      <c r="X78" s="153">
        <v>7975</v>
      </c>
      <c r="Y78" s="153"/>
      <c r="Z78" s="153">
        <v>2200</v>
      </c>
    </row>
    <row r="79" spans="1:28" s="142" customFormat="1">
      <c r="A79" s="168" t="s">
        <v>1658</v>
      </c>
      <c r="B79" s="153">
        <f t="shared" si="18"/>
        <v>135541</v>
      </c>
      <c r="C79" s="153">
        <v>24961</v>
      </c>
      <c r="D79" s="153"/>
      <c r="E79" s="153">
        <v>418</v>
      </c>
      <c r="F79" s="153">
        <v>14319</v>
      </c>
      <c r="G79" s="153">
        <v>30765</v>
      </c>
      <c r="H79" s="153">
        <v>154</v>
      </c>
      <c r="I79" s="153">
        <v>2229</v>
      </c>
      <c r="J79" s="153">
        <v>11463</v>
      </c>
      <c r="K79" s="153">
        <v>11200</v>
      </c>
      <c r="L79" s="153">
        <v>778</v>
      </c>
      <c r="M79" s="153">
        <v>6322</v>
      </c>
      <c r="N79" s="153">
        <v>27243</v>
      </c>
      <c r="O79" s="153">
        <v>412</v>
      </c>
      <c r="P79" s="153"/>
      <c r="Q79" s="153">
        <v>62</v>
      </c>
      <c r="R79" s="153"/>
      <c r="S79" s="153"/>
      <c r="T79" s="153">
        <v>967</v>
      </c>
      <c r="U79" s="153">
        <v>831</v>
      </c>
      <c r="V79" s="153"/>
      <c r="W79" s="153">
        <v>566</v>
      </c>
      <c r="X79" s="153">
        <v>2851</v>
      </c>
      <c r="Y79" s="153"/>
      <c r="Z79" s="153"/>
    </row>
    <row r="80" spans="1:28" s="142" customFormat="1">
      <c r="A80" s="168" t="s">
        <v>1659</v>
      </c>
      <c r="B80" s="153">
        <f t="shared" si="18"/>
        <v>43600</v>
      </c>
      <c r="C80" s="153">
        <v>5102</v>
      </c>
      <c r="D80" s="153">
        <v>0</v>
      </c>
      <c r="E80" s="153">
        <v>0</v>
      </c>
      <c r="F80" s="153">
        <v>0</v>
      </c>
      <c r="G80" s="153">
        <v>0</v>
      </c>
      <c r="H80" s="153">
        <v>13096</v>
      </c>
      <c r="I80" s="153">
        <v>320</v>
      </c>
      <c r="J80" s="153">
        <v>98</v>
      </c>
      <c r="K80" s="153">
        <v>0</v>
      </c>
      <c r="L80" s="153">
        <v>400</v>
      </c>
      <c r="M80" s="153">
        <v>8114</v>
      </c>
      <c r="N80" s="153">
        <v>12691</v>
      </c>
      <c r="O80" s="153">
        <v>0</v>
      </c>
      <c r="P80" s="153">
        <v>0</v>
      </c>
      <c r="Q80" s="153">
        <v>0</v>
      </c>
      <c r="R80" s="153">
        <v>0</v>
      </c>
      <c r="S80" s="153">
        <v>0</v>
      </c>
      <c r="T80" s="153">
        <v>0</v>
      </c>
      <c r="U80" s="153">
        <v>312</v>
      </c>
      <c r="V80" s="153"/>
      <c r="W80" s="153"/>
      <c r="X80" s="153">
        <v>3167</v>
      </c>
      <c r="Y80" s="153"/>
      <c r="Z80" s="153">
        <v>300</v>
      </c>
    </row>
    <row r="81" spans="1:26" s="132" customFormat="1" ht="12">
      <c r="A81" s="168" t="s">
        <v>1660</v>
      </c>
      <c r="B81" s="153">
        <f t="shared" si="18"/>
        <v>114735</v>
      </c>
      <c r="C81" s="153">
        <v>12072</v>
      </c>
      <c r="D81" s="153"/>
      <c r="E81" s="153"/>
      <c r="F81" s="153">
        <v>2963</v>
      </c>
      <c r="G81" s="153">
        <v>10000</v>
      </c>
      <c r="H81" s="153">
        <v>6000</v>
      </c>
      <c r="I81" s="153">
        <v>20</v>
      </c>
      <c r="J81" s="153">
        <v>1678</v>
      </c>
      <c r="K81" s="153">
        <v>1504</v>
      </c>
      <c r="L81" s="153">
        <v>2084</v>
      </c>
      <c r="M81" s="153">
        <v>59950</v>
      </c>
      <c r="N81" s="153">
        <v>4201</v>
      </c>
      <c r="O81" s="153"/>
      <c r="P81" s="153">
        <v>3606</v>
      </c>
      <c r="Q81" s="153"/>
      <c r="R81" s="153"/>
      <c r="S81" s="153"/>
      <c r="T81" s="153">
        <v>271</v>
      </c>
      <c r="U81" s="153"/>
      <c r="V81" s="153"/>
      <c r="W81" s="153">
        <v>1552</v>
      </c>
      <c r="X81" s="153">
        <v>2411</v>
      </c>
      <c r="Y81" s="153"/>
      <c r="Z81" s="153">
        <v>6423</v>
      </c>
    </row>
    <row r="82" spans="1:26" s="132" customFormat="1" ht="12">
      <c r="A82" s="164" t="s">
        <v>1672</v>
      </c>
      <c r="B82" s="184">
        <f t="shared" ref="B82:B94" si="19">SUM(C82:Z82)</f>
        <v>2177637</v>
      </c>
      <c r="C82" s="184">
        <f>SUM(C83:C85)</f>
        <v>262017</v>
      </c>
      <c r="D82" s="184">
        <f t="shared" ref="D82:Z82" si="20">SUM(D83:D85)</f>
        <v>0</v>
      </c>
      <c r="E82" s="184">
        <f t="shared" si="20"/>
        <v>1485</v>
      </c>
      <c r="F82" s="184">
        <f t="shared" si="20"/>
        <v>263799</v>
      </c>
      <c r="G82" s="184">
        <f t="shared" si="20"/>
        <v>453197</v>
      </c>
      <c r="H82" s="184">
        <f t="shared" si="20"/>
        <v>12441</v>
      </c>
      <c r="I82" s="184">
        <f t="shared" si="20"/>
        <v>25360</v>
      </c>
      <c r="J82" s="184">
        <f t="shared" si="20"/>
        <v>265321</v>
      </c>
      <c r="K82" s="184">
        <f t="shared" si="20"/>
        <v>189763</v>
      </c>
      <c r="L82" s="184">
        <f t="shared" si="20"/>
        <v>15229</v>
      </c>
      <c r="M82" s="184">
        <f t="shared" si="20"/>
        <v>49766</v>
      </c>
      <c r="N82" s="184">
        <f t="shared" si="20"/>
        <v>263177</v>
      </c>
      <c r="O82" s="184">
        <f t="shared" si="20"/>
        <v>117760</v>
      </c>
      <c r="P82" s="184">
        <f t="shared" si="20"/>
        <v>26532</v>
      </c>
      <c r="Q82" s="184">
        <f t="shared" si="20"/>
        <v>3180</v>
      </c>
      <c r="R82" s="184">
        <f t="shared" si="20"/>
        <v>67</v>
      </c>
      <c r="S82" s="184">
        <f t="shared" si="20"/>
        <v>0</v>
      </c>
      <c r="T82" s="184">
        <f t="shared" si="20"/>
        <v>12689</v>
      </c>
      <c r="U82" s="184">
        <f t="shared" si="20"/>
        <v>76916</v>
      </c>
      <c r="V82" s="184">
        <f t="shared" si="20"/>
        <v>3699</v>
      </c>
      <c r="W82" s="184">
        <f t="shared" si="20"/>
        <v>10879</v>
      </c>
      <c r="X82" s="184">
        <f t="shared" si="20"/>
        <v>54487</v>
      </c>
      <c r="Y82" s="184">
        <f t="shared" si="20"/>
        <v>71</v>
      </c>
      <c r="Z82" s="184">
        <f t="shared" si="20"/>
        <v>69802</v>
      </c>
    </row>
    <row r="83" spans="1:26" s="132" customFormat="1" ht="12">
      <c r="A83" s="170" t="s">
        <v>1661</v>
      </c>
      <c r="B83" s="184">
        <f t="shared" si="19"/>
        <v>443894</v>
      </c>
      <c r="C83" s="184">
        <v>53410</v>
      </c>
      <c r="D83" s="184">
        <v>0</v>
      </c>
      <c r="E83" s="184">
        <v>284</v>
      </c>
      <c r="F83" s="184">
        <v>34181</v>
      </c>
      <c r="G83" s="184">
        <v>80527</v>
      </c>
      <c r="H83" s="184">
        <v>2555</v>
      </c>
      <c r="I83" s="184">
        <v>9519</v>
      </c>
      <c r="J83" s="184">
        <v>43446</v>
      </c>
      <c r="K83" s="184">
        <v>23387</v>
      </c>
      <c r="L83" s="184">
        <v>1164</v>
      </c>
      <c r="M83" s="184">
        <v>1164</v>
      </c>
      <c r="N83" s="184">
        <v>27361</v>
      </c>
      <c r="O83" s="184">
        <v>100072</v>
      </c>
      <c r="P83" s="184">
        <v>4830</v>
      </c>
      <c r="Q83" s="184">
        <v>280</v>
      </c>
      <c r="R83" s="184">
        <v>0</v>
      </c>
      <c r="S83" s="184">
        <v>0</v>
      </c>
      <c r="T83" s="184">
        <v>2070</v>
      </c>
      <c r="U83" s="184">
        <v>6380</v>
      </c>
      <c r="V83" s="184">
        <v>2930</v>
      </c>
      <c r="W83" s="184">
        <v>3836</v>
      </c>
      <c r="X83" s="184">
        <v>3379</v>
      </c>
      <c r="Y83" s="184"/>
      <c r="Z83" s="184">
        <v>43119</v>
      </c>
    </row>
    <row r="84" spans="1:26" s="132" customFormat="1" ht="12">
      <c r="A84" s="167" t="s">
        <v>1662</v>
      </c>
      <c r="B84" s="184">
        <f>SUM(C84:Z84)</f>
        <v>62048</v>
      </c>
      <c r="C84" s="184">
        <v>4924</v>
      </c>
      <c r="D84" s="184"/>
      <c r="E84" s="184"/>
      <c r="F84" s="184">
        <v>11288</v>
      </c>
      <c r="G84" s="184">
        <v>5523</v>
      </c>
      <c r="H84" s="184">
        <v>1846</v>
      </c>
      <c r="I84" s="184"/>
      <c r="J84" s="184">
        <v>1103</v>
      </c>
      <c r="K84" s="184">
        <v>3500</v>
      </c>
      <c r="L84" s="184">
        <v>235</v>
      </c>
      <c r="M84" s="184">
        <v>8933</v>
      </c>
      <c r="N84" s="184"/>
      <c r="O84" s="184"/>
      <c r="P84" s="184">
        <v>14570</v>
      </c>
      <c r="Q84" s="184">
        <v>972</v>
      </c>
      <c r="R84" s="184"/>
      <c r="S84" s="184"/>
      <c r="T84" s="184">
        <v>261</v>
      </c>
      <c r="U84" s="184">
        <v>1151</v>
      </c>
      <c r="V84" s="184"/>
      <c r="W84" s="184">
        <v>879</v>
      </c>
      <c r="X84" s="184">
        <v>1590</v>
      </c>
      <c r="Y84" s="184"/>
      <c r="Z84" s="184">
        <v>5273</v>
      </c>
    </row>
    <row r="85" spans="1:26" s="132" customFormat="1" ht="12">
      <c r="A85" s="167" t="s">
        <v>1194</v>
      </c>
      <c r="B85" s="184">
        <f t="shared" si="19"/>
        <v>1671695</v>
      </c>
      <c r="C85" s="153">
        <f>SUM(C86:C94)</f>
        <v>203683</v>
      </c>
      <c r="D85" s="153">
        <f t="shared" ref="D85:Z85" si="21">SUM(D86:D94)</f>
        <v>0</v>
      </c>
      <c r="E85" s="153">
        <f t="shared" si="21"/>
        <v>1201</v>
      </c>
      <c r="F85" s="153">
        <f t="shared" si="21"/>
        <v>218330</v>
      </c>
      <c r="G85" s="153">
        <f t="shared" si="21"/>
        <v>367147</v>
      </c>
      <c r="H85" s="153">
        <f t="shared" si="21"/>
        <v>8040</v>
      </c>
      <c r="I85" s="153">
        <f t="shared" si="21"/>
        <v>15841</v>
      </c>
      <c r="J85" s="153">
        <f t="shared" si="21"/>
        <v>220772</v>
      </c>
      <c r="K85" s="153">
        <f t="shared" si="21"/>
        <v>162876</v>
      </c>
      <c r="L85" s="153">
        <f t="shared" si="21"/>
        <v>13830</v>
      </c>
      <c r="M85" s="153">
        <f t="shared" si="21"/>
        <v>39669</v>
      </c>
      <c r="N85" s="153">
        <f t="shared" si="21"/>
        <v>235816</v>
      </c>
      <c r="O85" s="153">
        <f t="shared" si="21"/>
        <v>17688</v>
      </c>
      <c r="P85" s="153">
        <f t="shared" si="21"/>
        <v>7132</v>
      </c>
      <c r="Q85" s="153">
        <f t="shared" si="21"/>
        <v>1928</v>
      </c>
      <c r="R85" s="153">
        <f t="shared" si="21"/>
        <v>67</v>
      </c>
      <c r="S85" s="153">
        <f t="shared" si="21"/>
        <v>0</v>
      </c>
      <c r="T85" s="153">
        <f t="shared" si="21"/>
        <v>10358</v>
      </c>
      <c r="U85" s="153">
        <f t="shared" si="21"/>
        <v>69385</v>
      </c>
      <c r="V85" s="153">
        <f t="shared" si="21"/>
        <v>769</v>
      </c>
      <c r="W85" s="153">
        <f t="shared" si="21"/>
        <v>6164</v>
      </c>
      <c r="X85" s="153">
        <f t="shared" si="21"/>
        <v>49518</v>
      </c>
      <c r="Y85" s="153">
        <f t="shared" si="21"/>
        <v>71</v>
      </c>
      <c r="Z85" s="153">
        <f t="shared" si="21"/>
        <v>21410</v>
      </c>
    </row>
    <row r="86" spans="1:26" s="132" customFormat="1" ht="12">
      <c r="A86" s="167" t="s">
        <v>1663</v>
      </c>
      <c r="B86" s="184">
        <f t="shared" si="19"/>
        <v>476886</v>
      </c>
      <c r="C86" s="153">
        <v>54287</v>
      </c>
      <c r="D86" s="153">
        <v>0</v>
      </c>
      <c r="E86" s="153">
        <v>182</v>
      </c>
      <c r="F86" s="153">
        <v>89360</v>
      </c>
      <c r="G86" s="153">
        <v>131106</v>
      </c>
      <c r="H86" s="153">
        <v>2936</v>
      </c>
      <c r="I86" s="153">
        <v>1994</v>
      </c>
      <c r="J86" s="153">
        <v>68287</v>
      </c>
      <c r="K86" s="153">
        <v>40605</v>
      </c>
      <c r="L86" s="153">
        <v>2975</v>
      </c>
      <c r="M86" s="153">
        <v>7868</v>
      </c>
      <c r="N86" s="153">
        <v>26348</v>
      </c>
      <c r="O86" s="153">
        <v>5095</v>
      </c>
      <c r="P86" s="153">
        <v>1321</v>
      </c>
      <c r="Q86" s="153">
        <v>304</v>
      </c>
      <c r="R86" s="153">
        <v>60</v>
      </c>
      <c r="S86" s="153">
        <v>0</v>
      </c>
      <c r="T86" s="153">
        <v>1846</v>
      </c>
      <c r="U86" s="153">
        <v>15097</v>
      </c>
      <c r="V86" s="153">
        <v>551</v>
      </c>
      <c r="W86" s="153">
        <v>2101</v>
      </c>
      <c r="X86" s="153">
        <v>18229</v>
      </c>
      <c r="Y86" s="153">
        <v>0</v>
      </c>
      <c r="Z86" s="153">
        <v>6334</v>
      </c>
    </row>
    <row r="87" spans="1:26" s="132" customFormat="1" ht="12">
      <c r="A87" s="167" t="s">
        <v>1600</v>
      </c>
      <c r="B87" s="184">
        <f t="shared" si="19"/>
        <v>175895</v>
      </c>
      <c r="C87" s="153">
        <v>21652</v>
      </c>
      <c r="D87" s="153"/>
      <c r="E87" s="153">
        <v>942</v>
      </c>
      <c r="F87" s="153">
        <v>15216</v>
      </c>
      <c r="G87" s="153">
        <v>41279</v>
      </c>
      <c r="H87" s="153">
        <v>27</v>
      </c>
      <c r="I87" s="153">
        <v>1753</v>
      </c>
      <c r="J87" s="153">
        <v>26614</v>
      </c>
      <c r="K87" s="153">
        <v>18653</v>
      </c>
      <c r="L87" s="153">
        <v>503</v>
      </c>
      <c r="M87" s="153">
        <v>1019</v>
      </c>
      <c r="N87" s="153">
        <v>35238</v>
      </c>
      <c r="O87" s="153">
        <v>271</v>
      </c>
      <c r="P87" s="153"/>
      <c r="Q87" s="153">
        <v>68</v>
      </c>
      <c r="R87" s="153"/>
      <c r="S87" s="153"/>
      <c r="T87" s="153">
        <v>358</v>
      </c>
      <c r="U87" s="153">
        <v>7148</v>
      </c>
      <c r="V87" s="153">
        <v>45</v>
      </c>
      <c r="W87" s="153">
        <v>464</v>
      </c>
      <c r="X87" s="153">
        <v>3625</v>
      </c>
      <c r="Y87" s="153">
        <v>20</v>
      </c>
      <c r="Z87" s="153">
        <v>1000</v>
      </c>
    </row>
    <row r="88" spans="1:26" s="132" customFormat="1" ht="12">
      <c r="A88" s="167" t="s">
        <v>1601</v>
      </c>
      <c r="B88" s="184">
        <f t="shared" si="19"/>
        <v>136277</v>
      </c>
      <c r="C88" s="153">
        <v>18961</v>
      </c>
      <c r="D88" s="153"/>
      <c r="E88" s="153"/>
      <c r="F88" s="153">
        <v>17084</v>
      </c>
      <c r="G88" s="153">
        <v>21124</v>
      </c>
      <c r="H88" s="153">
        <v>148</v>
      </c>
      <c r="I88" s="153">
        <v>944</v>
      </c>
      <c r="J88" s="153">
        <v>12241</v>
      </c>
      <c r="K88" s="153">
        <v>13860</v>
      </c>
      <c r="L88" s="153">
        <v>3272</v>
      </c>
      <c r="M88" s="153">
        <v>3771</v>
      </c>
      <c r="N88" s="153">
        <v>25451</v>
      </c>
      <c r="O88" s="153">
        <v>312</v>
      </c>
      <c r="P88" s="153">
        <v>1529</v>
      </c>
      <c r="Q88" s="153">
        <v>94</v>
      </c>
      <c r="R88" s="153"/>
      <c r="S88" s="153"/>
      <c r="T88" s="153">
        <v>2151</v>
      </c>
      <c r="U88" s="153">
        <v>9007</v>
      </c>
      <c r="V88" s="153"/>
      <c r="W88" s="153">
        <v>668</v>
      </c>
      <c r="X88" s="153">
        <v>4160</v>
      </c>
      <c r="Y88" s="153"/>
      <c r="Z88" s="153">
        <v>1500</v>
      </c>
    </row>
    <row r="89" spans="1:26" s="132" customFormat="1" ht="12">
      <c r="A89" s="167" t="s">
        <v>1602</v>
      </c>
      <c r="B89" s="184">
        <f t="shared" si="19"/>
        <v>151419</v>
      </c>
      <c r="C89" s="153">
        <v>22258</v>
      </c>
      <c r="D89" s="153">
        <v>0</v>
      </c>
      <c r="E89" s="153">
        <v>0</v>
      </c>
      <c r="F89" s="153">
        <v>17397</v>
      </c>
      <c r="G89" s="153">
        <v>33550</v>
      </c>
      <c r="H89" s="153">
        <v>35</v>
      </c>
      <c r="I89" s="153">
        <v>1724</v>
      </c>
      <c r="J89" s="153">
        <v>18557</v>
      </c>
      <c r="K89" s="153">
        <v>12783</v>
      </c>
      <c r="L89" s="153">
        <v>139</v>
      </c>
      <c r="M89" s="153">
        <v>1500</v>
      </c>
      <c r="N89" s="153">
        <v>28523</v>
      </c>
      <c r="O89" s="153">
        <v>263</v>
      </c>
      <c r="P89" s="153">
        <v>0</v>
      </c>
      <c r="Q89" s="153">
        <v>63</v>
      </c>
      <c r="R89" s="153">
        <v>0</v>
      </c>
      <c r="S89" s="153">
        <v>0</v>
      </c>
      <c r="T89" s="153">
        <v>694</v>
      </c>
      <c r="U89" s="153">
        <v>4809</v>
      </c>
      <c r="V89" s="153">
        <v>25</v>
      </c>
      <c r="W89" s="153">
        <v>567</v>
      </c>
      <c r="X89" s="153">
        <v>4150</v>
      </c>
      <c r="Y89" s="153">
        <v>50</v>
      </c>
      <c r="Z89" s="153">
        <v>4332</v>
      </c>
    </row>
    <row r="90" spans="1:26" s="132" customFormat="1" ht="12">
      <c r="A90" s="167" t="s">
        <v>1664</v>
      </c>
      <c r="B90" s="184">
        <f t="shared" si="19"/>
        <v>158437</v>
      </c>
      <c r="C90" s="153">
        <v>23950</v>
      </c>
      <c r="D90" s="153">
        <v>0</v>
      </c>
      <c r="E90" s="153">
        <v>0</v>
      </c>
      <c r="F90" s="153">
        <v>20739</v>
      </c>
      <c r="G90" s="153">
        <v>19598</v>
      </c>
      <c r="H90" s="153">
        <v>843</v>
      </c>
      <c r="I90" s="153">
        <v>3356</v>
      </c>
      <c r="J90" s="153">
        <v>14740</v>
      </c>
      <c r="K90" s="153">
        <v>15382</v>
      </c>
      <c r="L90" s="153">
        <v>1926</v>
      </c>
      <c r="M90" s="153">
        <v>9771</v>
      </c>
      <c r="N90" s="153">
        <v>25503</v>
      </c>
      <c r="O90" s="153">
        <v>5516</v>
      </c>
      <c r="P90" s="153">
        <v>4282</v>
      </c>
      <c r="Q90" s="153">
        <v>62</v>
      </c>
      <c r="R90" s="153">
        <v>7</v>
      </c>
      <c r="S90" s="153">
        <v>0</v>
      </c>
      <c r="T90" s="153">
        <v>3842</v>
      </c>
      <c r="U90" s="153">
        <v>4522</v>
      </c>
      <c r="V90" s="153">
        <v>36</v>
      </c>
      <c r="W90" s="153">
        <v>712</v>
      </c>
      <c r="X90" s="153">
        <v>2031</v>
      </c>
      <c r="Y90" s="153"/>
      <c r="Z90" s="153">
        <v>1619</v>
      </c>
    </row>
    <row r="91" spans="1:26" s="132" customFormat="1" ht="12">
      <c r="A91" s="167" t="s">
        <v>1603</v>
      </c>
      <c r="B91" s="184">
        <f t="shared" si="19"/>
        <v>133757</v>
      </c>
      <c r="C91" s="153">
        <v>10342</v>
      </c>
      <c r="D91" s="153"/>
      <c r="E91" s="153"/>
      <c r="F91" s="153">
        <v>9026</v>
      </c>
      <c r="G91" s="153">
        <v>25644</v>
      </c>
      <c r="H91" s="153">
        <v>2492</v>
      </c>
      <c r="I91" s="153">
        <v>1369</v>
      </c>
      <c r="J91" s="153">
        <v>21881</v>
      </c>
      <c r="K91" s="153">
        <v>13617</v>
      </c>
      <c r="L91" s="153">
        <v>2129</v>
      </c>
      <c r="M91" s="153">
        <v>2330</v>
      </c>
      <c r="N91" s="153">
        <v>31412</v>
      </c>
      <c r="O91" s="153">
        <v>418</v>
      </c>
      <c r="P91" s="153"/>
      <c r="Q91" s="153"/>
      <c r="R91" s="153"/>
      <c r="S91" s="153"/>
      <c r="T91" s="153">
        <v>454</v>
      </c>
      <c r="U91" s="153">
        <v>5536</v>
      </c>
      <c r="V91" s="153">
        <v>9</v>
      </c>
      <c r="W91" s="153">
        <v>205</v>
      </c>
      <c r="X91" s="153">
        <v>4893</v>
      </c>
      <c r="Y91" s="153"/>
      <c r="Z91" s="153">
        <v>2000</v>
      </c>
    </row>
    <row r="92" spans="1:26" s="132" customFormat="1" ht="12">
      <c r="A92" s="167" t="s">
        <v>1665</v>
      </c>
      <c r="B92" s="184">
        <f t="shared" si="19"/>
        <v>233027</v>
      </c>
      <c r="C92" s="153">
        <v>28212</v>
      </c>
      <c r="D92" s="153">
        <v>0</v>
      </c>
      <c r="E92" s="153">
        <v>77</v>
      </c>
      <c r="F92" s="153">
        <v>24362</v>
      </c>
      <c r="G92" s="153">
        <v>57054</v>
      </c>
      <c r="H92" s="153">
        <v>178</v>
      </c>
      <c r="I92" s="153">
        <v>2721</v>
      </c>
      <c r="J92" s="153">
        <v>32025</v>
      </c>
      <c r="K92" s="153">
        <v>22080</v>
      </c>
      <c r="L92" s="153">
        <v>1062</v>
      </c>
      <c r="M92" s="153">
        <v>6102</v>
      </c>
      <c r="N92" s="153">
        <v>31238</v>
      </c>
      <c r="O92" s="153">
        <v>4775</v>
      </c>
      <c r="P92" s="153">
        <v>0</v>
      </c>
      <c r="Q92" s="153">
        <v>1166</v>
      </c>
      <c r="R92" s="153">
        <v>0</v>
      </c>
      <c r="S92" s="153">
        <v>0</v>
      </c>
      <c r="T92" s="153">
        <v>399</v>
      </c>
      <c r="U92" s="153">
        <v>12187</v>
      </c>
      <c r="V92" s="153">
        <v>63</v>
      </c>
      <c r="W92" s="153">
        <v>607</v>
      </c>
      <c r="X92" s="153">
        <v>6388</v>
      </c>
      <c r="Y92" s="153">
        <v>0</v>
      </c>
      <c r="Z92" s="153">
        <v>2331</v>
      </c>
    </row>
    <row r="93" spans="1:26" s="132" customFormat="1" ht="12">
      <c r="A93" s="168" t="s">
        <v>1604</v>
      </c>
      <c r="B93" s="184">
        <f t="shared" si="19"/>
        <v>108696</v>
      </c>
      <c r="C93" s="153">
        <v>12007</v>
      </c>
      <c r="D93" s="153">
        <v>0</v>
      </c>
      <c r="E93" s="153">
        <v>0</v>
      </c>
      <c r="F93" s="153">
        <v>15077</v>
      </c>
      <c r="G93" s="153">
        <v>20465</v>
      </c>
      <c r="H93" s="153">
        <v>1338</v>
      </c>
      <c r="I93" s="153">
        <v>980</v>
      </c>
      <c r="J93" s="153">
        <v>12750</v>
      </c>
      <c r="K93" s="153">
        <v>9240</v>
      </c>
      <c r="L93" s="153">
        <v>1200</v>
      </c>
      <c r="M93" s="153">
        <v>1168</v>
      </c>
      <c r="N93" s="153">
        <v>22427</v>
      </c>
      <c r="O93" s="153">
        <v>727</v>
      </c>
      <c r="P93" s="153">
        <v>0</v>
      </c>
      <c r="Q93" s="153">
        <v>91</v>
      </c>
      <c r="R93" s="153">
        <v>0</v>
      </c>
      <c r="S93" s="153">
        <v>0</v>
      </c>
      <c r="T93" s="153">
        <v>316</v>
      </c>
      <c r="U93" s="153">
        <v>6900</v>
      </c>
      <c r="V93" s="153">
        <v>40</v>
      </c>
      <c r="W93" s="153">
        <v>335</v>
      </c>
      <c r="X93" s="153">
        <v>2640</v>
      </c>
      <c r="Y93" s="153">
        <v>1</v>
      </c>
      <c r="Z93" s="153">
        <v>994</v>
      </c>
    </row>
    <row r="94" spans="1:26" s="134" customFormat="1" ht="12">
      <c r="A94" s="167" t="s">
        <v>1666</v>
      </c>
      <c r="B94" s="184">
        <f t="shared" si="19"/>
        <v>97301</v>
      </c>
      <c r="C94" s="153">
        <v>12014</v>
      </c>
      <c r="D94" s="153"/>
      <c r="E94" s="153"/>
      <c r="F94" s="153">
        <v>10069</v>
      </c>
      <c r="G94" s="153">
        <v>17327</v>
      </c>
      <c r="H94" s="153">
        <v>43</v>
      </c>
      <c r="I94" s="153">
        <v>1000</v>
      </c>
      <c r="J94" s="153">
        <v>13677</v>
      </c>
      <c r="K94" s="153">
        <v>16656</v>
      </c>
      <c r="L94" s="153">
        <v>624</v>
      </c>
      <c r="M94" s="153">
        <v>6140</v>
      </c>
      <c r="N94" s="153">
        <v>9676</v>
      </c>
      <c r="O94" s="153">
        <v>311</v>
      </c>
      <c r="P94" s="153"/>
      <c r="Q94" s="153">
        <v>80</v>
      </c>
      <c r="R94" s="153"/>
      <c r="S94" s="153"/>
      <c r="T94" s="153">
        <v>298</v>
      </c>
      <c r="U94" s="153">
        <v>4179</v>
      </c>
      <c r="V94" s="153"/>
      <c r="W94" s="153">
        <v>505</v>
      </c>
      <c r="X94" s="153">
        <v>3402</v>
      </c>
      <c r="Y94" s="153"/>
      <c r="Z94" s="153">
        <v>1300</v>
      </c>
    </row>
    <row r="95" spans="1:26" s="134" customFormat="1" ht="12">
      <c r="A95" s="165" t="s">
        <v>1673</v>
      </c>
      <c r="B95" s="173">
        <f t="shared" ref="B95:Z95" si="22">SUM(B96:B97)</f>
        <v>3664618</v>
      </c>
      <c r="C95" s="173">
        <f t="shared" si="22"/>
        <v>459671</v>
      </c>
      <c r="D95" s="173">
        <f t="shared" si="22"/>
        <v>0</v>
      </c>
      <c r="E95" s="173">
        <f t="shared" si="22"/>
        <v>2094</v>
      </c>
      <c r="F95" s="173">
        <f t="shared" si="22"/>
        <v>250507</v>
      </c>
      <c r="G95" s="173">
        <f t="shared" si="22"/>
        <v>746147</v>
      </c>
      <c r="H95" s="173">
        <f t="shared" si="22"/>
        <v>6505</v>
      </c>
      <c r="I95" s="173">
        <f t="shared" si="22"/>
        <v>33259</v>
      </c>
      <c r="J95" s="173">
        <f t="shared" si="22"/>
        <v>318823</v>
      </c>
      <c r="K95" s="173">
        <f t="shared" si="22"/>
        <v>316775</v>
      </c>
      <c r="L95" s="173">
        <f t="shared" si="22"/>
        <v>24602</v>
      </c>
      <c r="M95" s="173">
        <f t="shared" si="22"/>
        <v>61615</v>
      </c>
      <c r="N95" s="173">
        <f t="shared" si="22"/>
        <v>946335</v>
      </c>
      <c r="O95" s="173">
        <f t="shared" si="22"/>
        <v>151814</v>
      </c>
      <c r="P95" s="173">
        <f t="shared" si="22"/>
        <v>35191</v>
      </c>
      <c r="Q95" s="173">
        <f t="shared" si="22"/>
        <v>3337</v>
      </c>
      <c r="R95" s="173">
        <f t="shared" si="22"/>
        <v>0</v>
      </c>
      <c r="S95" s="173">
        <f t="shared" si="22"/>
        <v>0</v>
      </c>
      <c r="T95" s="173">
        <f t="shared" si="22"/>
        <v>9906</v>
      </c>
      <c r="U95" s="173">
        <f t="shared" si="22"/>
        <v>54617</v>
      </c>
      <c r="V95" s="173">
        <f t="shared" si="22"/>
        <v>5091</v>
      </c>
      <c r="W95" s="173">
        <f t="shared" si="22"/>
        <v>8581</v>
      </c>
      <c r="X95" s="173">
        <f t="shared" si="22"/>
        <v>69252</v>
      </c>
      <c r="Y95" s="173">
        <f t="shared" si="22"/>
        <v>165</v>
      </c>
      <c r="Z95" s="173">
        <f t="shared" si="22"/>
        <v>160331</v>
      </c>
    </row>
    <row r="96" spans="1:26" s="134" customFormat="1" ht="12">
      <c r="A96" s="171" t="s">
        <v>1193</v>
      </c>
      <c r="B96" s="153">
        <f t="shared" ref="B96:B107" si="23">SUM(C96:Z96)</f>
        <v>552302</v>
      </c>
      <c r="C96" s="153">
        <v>103484</v>
      </c>
      <c r="D96" s="153"/>
      <c r="E96" s="153">
        <v>978</v>
      </c>
      <c r="F96" s="153">
        <v>25967</v>
      </c>
      <c r="G96" s="153">
        <v>40301</v>
      </c>
      <c r="H96" s="153">
        <v>1315</v>
      </c>
      <c r="I96" s="153">
        <v>14790</v>
      </c>
      <c r="J96" s="153">
        <v>41783</v>
      </c>
      <c r="K96" s="153">
        <v>40969</v>
      </c>
      <c r="L96" s="153">
        <v>1055</v>
      </c>
      <c r="M96" s="153">
        <v>1066</v>
      </c>
      <c r="N96" s="153">
        <v>34380</v>
      </c>
      <c r="O96" s="153">
        <v>138369</v>
      </c>
      <c r="P96" s="174">
        <v>26815</v>
      </c>
      <c r="Q96" s="153">
        <v>1060</v>
      </c>
      <c r="R96" s="153"/>
      <c r="S96" s="153"/>
      <c r="T96" s="153">
        <v>3709</v>
      </c>
      <c r="U96" s="153">
        <v>9938</v>
      </c>
      <c r="V96" s="153">
        <v>988</v>
      </c>
      <c r="W96" s="153">
        <v>4294</v>
      </c>
      <c r="X96" s="153">
        <v>2711</v>
      </c>
      <c r="Y96" s="153"/>
      <c r="Z96" s="153">
        <v>58330</v>
      </c>
    </row>
    <row r="97" spans="1:26" s="134" customFormat="1" ht="12">
      <c r="A97" s="171" t="s">
        <v>1194</v>
      </c>
      <c r="B97" s="173">
        <f t="shared" ref="B97:Z97" si="24">SUM(B98:B107)</f>
        <v>3112316</v>
      </c>
      <c r="C97" s="173">
        <f t="shared" si="24"/>
        <v>356187</v>
      </c>
      <c r="D97" s="173">
        <f t="shared" si="24"/>
        <v>0</v>
      </c>
      <c r="E97" s="173">
        <f t="shared" si="24"/>
        <v>1116</v>
      </c>
      <c r="F97" s="173">
        <f t="shared" si="24"/>
        <v>224540</v>
      </c>
      <c r="G97" s="173">
        <f t="shared" si="24"/>
        <v>705846</v>
      </c>
      <c r="H97" s="173">
        <f t="shared" si="24"/>
        <v>5190</v>
      </c>
      <c r="I97" s="173">
        <f t="shared" si="24"/>
        <v>18469</v>
      </c>
      <c r="J97" s="173">
        <f t="shared" si="24"/>
        <v>277040</v>
      </c>
      <c r="K97" s="173">
        <f t="shared" si="24"/>
        <v>275806</v>
      </c>
      <c r="L97" s="173">
        <f t="shared" si="24"/>
        <v>23547</v>
      </c>
      <c r="M97" s="173">
        <f t="shared" si="24"/>
        <v>60549</v>
      </c>
      <c r="N97" s="173">
        <f t="shared" si="24"/>
        <v>911955</v>
      </c>
      <c r="O97" s="173">
        <f t="shared" si="24"/>
        <v>13445</v>
      </c>
      <c r="P97" s="173">
        <f t="shared" si="24"/>
        <v>8376</v>
      </c>
      <c r="Q97" s="173">
        <f t="shared" si="24"/>
        <v>2277</v>
      </c>
      <c r="R97" s="173">
        <f t="shared" si="24"/>
        <v>0</v>
      </c>
      <c r="S97" s="173">
        <f t="shared" si="24"/>
        <v>0</v>
      </c>
      <c r="T97" s="173">
        <f t="shared" si="24"/>
        <v>6197</v>
      </c>
      <c r="U97" s="173">
        <f t="shared" si="24"/>
        <v>44679</v>
      </c>
      <c r="V97" s="173">
        <f t="shared" si="24"/>
        <v>4103</v>
      </c>
      <c r="W97" s="173">
        <f t="shared" si="24"/>
        <v>4287</v>
      </c>
      <c r="X97" s="173">
        <f t="shared" si="24"/>
        <v>66541</v>
      </c>
      <c r="Y97" s="173">
        <f t="shared" si="24"/>
        <v>165</v>
      </c>
      <c r="Z97" s="173">
        <f t="shared" si="24"/>
        <v>102001</v>
      </c>
    </row>
    <row r="98" spans="1:26" s="134" customFormat="1" ht="12">
      <c r="A98" s="167" t="s">
        <v>1605</v>
      </c>
      <c r="B98" s="173">
        <f t="shared" si="23"/>
        <v>21948</v>
      </c>
      <c r="C98" s="173"/>
      <c r="D98" s="173"/>
      <c r="E98" s="173"/>
      <c r="F98" s="173"/>
      <c r="G98" s="173"/>
      <c r="H98" s="173"/>
      <c r="I98" s="173"/>
      <c r="J98" s="173"/>
      <c r="K98" s="173"/>
      <c r="L98" s="173"/>
      <c r="M98" s="173"/>
      <c r="N98" s="173"/>
      <c r="O98" s="173"/>
      <c r="P98" s="188">
        <v>6138</v>
      </c>
      <c r="Q98" s="173"/>
      <c r="R98" s="173"/>
      <c r="S98" s="173"/>
      <c r="T98" s="173"/>
      <c r="U98" s="173"/>
      <c r="V98" s="173"/>
      <c r="W98" s="173"/>
      <c r="X98" s="173">
        <v>3500</v>
      </c>
      <c r="Y98" s="173"/>
      <c r="Z98" s="173">
        <v>12310</v>
      </c>
    </row>
    <row r="99" spans="1:26" s="134" customFormat="1" ht="12">
      <c r="A99" s="167" t="s">
        <v>1606</v>
      </c>
      <c r="B99" s="173">
        <f t="shared" si="23"/>
        <v>473621</v>
      </c>
      <c r="C99" s="189">
        <v>46333</v>
      </c>
      <c r="D99" s="189">
        <v>0</v>
      </c>
      <c r="E99" s="189">
        <v>46</v>
      </c>
      <c r="F99" s="189">
        <v>52900</v>
      </c>
      <c r="G99" s="189">
        <v>125584</v>
      </c>
      <c r="H99" s="189">
        <v>65</v>
      </c>
      <c r="I99" s="189">
        <v>1679</v>
      </c>
      <c r="J99" s="189">
        <v>43406</v>
      </c>
      <c r="K99" s="189">
        <v>60096</v>
      </c>
      <c r="L99" s="189">
        <v>4567</v>
      </c>
      <c r="M99" s="189">
        <v>7011</v>
      </c>
      <c r="N99" s="189">
        <v>83987</v>
      </c>
      <c r="O99" s="189">
        <v>1122</v>
      </c>
      <c r="P99" s="190">
        <v>1424</v>
      </c>
      <c r="Q99" s="190">
        <v>84</v>
      </c>
      <c r="R99" s="189">
        <v>0</v>
      </c>
      <c r="S99" s="190">
        <v>0</v>
      </c>
      <c r="T99" s="190">
        <v>714</v>
      </c>
      <c r="U99" s="190">
        <v>23678</v>
      </c>
      <c r="V99" s="190">
        <v>0</v>
      </c>
      <c r="W99" s="190">
        <v>787</v>
      </c>
      <c r="X99" s="189">
        <v>11138</v>
      </c>
      <c r="Y99" s="190"/>
      <c r="Z99" s="190">
        <v>9000</v>
      </c>
    </row>
    <row r="100" spans="1:26" s="144" customFormat="1" ht="12">
      <c r="A100" s="167" t="s">
        <v>1607</v>
      </c>
      <c r="B100" s="173">
        <f t="shared" si="23"/>
        <v>660895</v>
      </c>
      <c r="C100" s="173">
        <v>94993</v>
      </c>
      <c r="D100" s="173"/>
      <c r="E100" s="173">
        <v>120</v>
      </c>
      <c r="F100" s="173">
        <v>59196</v>
      </c>
      <c r="G100" s="173">
        <v>156230</v>
      </c>
      <c r="H100" s="173">
        <v>4714</v>
      </c>
      <c r="I100" s="173">
        <v>3133</v>
      </c>
      <c r="J100" s="173">
        <v>50274</v>
      </c>
      <c r="K100" s="173">
        <v>50613</v>
      </c>
      <c r="L100" s="173">
        <v>2696</v>
      </c>
      <c r="M100" s="173">
        <v>20486</v>
      </c>
      <c r="N100" s="173">
        <v>182246</v>
      </c>
      <c r="O100" s="173">
        <v>2250</v>
      </c>
      <c r="P100" s="173">
        <v>814</v>
      </c>
      <c r="Q100" s="173">
        <v>376</v>
      </c>
      <c r="R100" s="173"/>
      <c r="S100" s="173"/>
      <c r="T100" s="173">
        <v>793</v>
      </c>
      <c r="U100" s="173">
        <v>380</v>
      </c>
      <c r="V100" s="173">
        <v>564</v>
      </c>
      <c r="W100" s="173">
        <v>537</v>
      </c>
      <c r="X100" s="173">
        <v>12988</v>
      </c>
      <c r="Y100" s="173">
        <v>50</v>
      </c>
      <c r="Z100" s="173">
        <v>17442</v>
      </c>
    </row>
    <row r="101" spans="1:26" s="134" customFormat="1" ht="12">
      <c r="A101" s="167" t="s">
        <v>1608</v>
      </c>
      <c r="B101" s="173">
        <f t="shared" si="23"/>
        <v>313791</v>
      </c>
      <c r="C101" s="173">
        <v>59091</v>
      </c>
      <c r="D101" s="173"/>
      <c r="E101" s="173">
        <v>77</v>
      </c>
      <c r="F101" s="173">
        <v>25216</v>
      </c>
      <c r="G101" s="173">
        <v>73738</v>
      </c>
      <c r="H101" s="173">
        <v>69</v>
      </c>
      <c r="I101" s="173">
        <v>2212</v>
      </c>
      <c r="J101" s="173">
        <v>36068</v>
      </c>
      <c r="K101" s="173">
        <v>29845</v>
      </c>
      <c r="L101" s="173">
        <v>513</v>
      </c>
      <c r="M101" s="173">
        <v>9349</v>
      </c>
      <c r="N101" s="173">
        <v>52295</v>
      </c>
      <c r="O101" s="173">
        <v>719</v>
      </c>
      <c r="P101" s="173"/>
      <c r="Q101" s="173">
        <v>133</v>
      </c>
      <c r="R101" s="173"/>
      <c r="S101" s="173"/>
      <c r="T101" s="173">
        <v>817</v>
      </c>
      <c r="U101" s="173">
        <v>8572</v>
      </c>
      <c r="V101" s="173">
        <v>1379</v>
      </c>
      <c r="W101" s="173">
        <v>396</v>
      </c>
      <c r="X101" s="173">
        <v>8052</v>
      </c>
      <c r="Y101" s="173">
        <v>50</v>
      </c>
      <c r="Z101" s="173">
        <v>5200</v>
      </c>
    </row>
    <row r="102" spans="1:26" s="145" customFormat="1">
      <c r="A102" s="167" t="s">
        <v>1609</v>
      </c>
      <c r="B102" s="173">
        <f t="shared" si="23"/>
        <v>264059</v>
      </c>
      <c r="C102" s="173">
        <v>21990</v>
      </c>
      <c r="D102" s="173">
        <v>0</v>
      </c>
      <c r="E102" s="173">
        <v>62</v>
      </c>
      <c r="F102" s="173">
        <v>16299</v>
      </c>
      <c r="G102" s="173">
        <v>56007</v>
      </c>
      <c r="H102" s="173">
        <v>70</v>
      </c>
      <c r="I102" s="173">
        <v>2910</v>
      </c>
      <c r="J102" s="173">
        <v>22827</v>
      </c>
      <c r="K102" s="173">
        <v>22140</v>
      </c>
      <c r="L102" s="173">
        <v>1370</v>
      </c>
      <c r="M102" s="173">
        <v>1384</v>
      </c>
      <c r="N102" s="173">
        <v>97153</v>
      </c>
      <c r="O102" s="173">
        <v>754</v>
      </c>
      <c r="P102" s="188"/>
      <c r="Q102" s="173">
        <v>448</v>
      </c>
      <c r="R102" s="173"/>
      <c r="S102" s="173"/>
      <c r="T102" s="173">
        <v>1035</v>
      </c>
      <c r="U102" s="173">
        <v>1365</v>
      </c>
      <c r="V102" s="173"/>
      <c r="W102" s="173">
        <v>310</v>
      </c>
      <c r="X102" s="173">
        <v>5104</v>
      </c>
      <c r="Y102" s="173"/>
      <c r="Z102" s="173">
        <v>12831</v>
      </c>
    </row>
    <row r="103" spans="1:26" s="134" customFormat="1" ht="12">
      <c r="A103" s="167" t="s">
        <v>1610</v>
      </c>
      <c r="B103" s="173">
        <f t="shared" si="23"/>
        <v>416513</v>
      </c>
      <c r="C103" s="173">
        <v>27138</v>
      </c>
      <c r="D103" s="173">
        <v>0</v>
      </c>
      <c r="E103" s="173">
        <v>59</v>
      </c>
      <c r="F103" s="173">
        <v>15018</v>
      </c>
      <c r="G103" s="173">
        <v>77507</v>
      </c>
      <c r="H103" s="173">
        <v>0</v>
      </c>
      <c r="I103" s="173">
        <v>2060</v>
      </c>
      <c r="J103" s="173">
        <v>37193</v>
      </c>
      <c r="K103" s="173">
        <v>26624</v>
      </c>
      <c r="L103" s="173">
        <v>1893</v>
      </c>
      <c r="M103" s="173">
        <v>16014</v>
      </c>
      <c r="N103" s="173">
        <v>180292</v>
      </c>
      <c r="O103" s="173">
        <v>6300</v>
      </c>
      <c r="P103" s="173">
        <v>0</v>
      </c>
      <c r="Q103" s="173">
        <v>152</v>
      </c>
      <c r="R103" s="173">
        <v>0</v>
      </c>
      <c r="S103" s="173">
        <v>0</v>
      </c>
      <c r="T103" s="173">
        <v>783</v>
      </c>
      <c r="U103" s="173">
        <v>3229</v>
      </c>
      <c r="V103" s="173">
        <v>57</v>
      </c>
      <c r="W103" s="173">
        <v>364</v>
      </c>
      <c r="X103" s="173">
        <v>7887</v>
      </c>
      <c r="Y103" s="173">
        <v>30</v>
      </c>
      <c r="Z103" s="173">
        <v>13913</v>
      </c>
    </row>
    <row r="104" spans="1:26" s="134" customFormat="1" ht="12">
      <c r="A104" s="167" t="s">
        <v>1611</v>
      </c>
      <c r="B104" s="173">
        <f t="shared" si="23"/>
        <v>265923</v>
      </c>
      <c r="C104" s="173">
        <v>28537</v>
      </c>
      <c r="D104" s="173"/>
      <c r="E104" s="173">
        <v>382</v>
      </c>
      <c r="F104" s="173">
        <v>15310</v>
      </c>
      <c r="G104" s="173">
        <v>60227</v>
      </c>
      <c r="H104" s="173">
        <v>35</v>
      </c>
      <c r="I104" s="173">
        <v>1924</v>
      </c>
      <c r="J104" s="173">
        <v>19848</v>
      </c>
      <c r="K104" s="173">
        <v>24159</v>
      </c>
      <c r="L104" s="173">
        <v>3832</v>
      </c>
      <c r="M104" s="173">
        <v>3088</v>
      </c>
      <c r="N104" s="173">
        <v>87845</v>
      </c>
      <c r="O104" s="173">
        <v>550</v>
      </c>
      <c r="P104" s="188"/>
      <c r="Q104" s="173">
        <v>579</v>
      </c>
      <c r="R104" s="173"/>
      <c r="S104" s="173"/>
      <c r="T104" s="173">
        <v>303</v>
      </c>
      <c r="U104" s="173">
        <v>2427</v>
      </c>
      <c r="V104" s="173">
        <v>704</v>
      </c>
      <c r="W104" s="173">
        <v>1119</v>
      </c>
      <c r="X104" s="173">
        <v>7606</v>
      </c>
      <c r="Y104" s="173">
        <v>35</v>
      </c>
      <c r="Z104" s="188">
        <v>7413</v>
      </c>
    </row>
    <row r="105" spans="1:26" s="134" customFormat="1" ht="12">
      <c r="A105" s="167" t="s">
        <v>1612</v>
      </c>
      <c r="B105" s="172">
        <f t="shared" si="23"/>
        <v>257237</v>
      </c>
      <c r="C105" s="172">
        <v>31814</v>
      </c>
      <c r="D105" s="172">
        <v>0</v>
      </c>
      <c r="E105" s="172">
        <v>290</v>
      </c>
      <c r="F105" s="172">
        <v>12805</v>
      </c>
      <c r="G105" s="172">
        <v>62251</v>
      </c>
      <c r="H105" s="172">
        <v>81</v>
      </c>
      <c r="I105" s="172">
        <v>1598</v>
      </c>
      <c r="J105" s="172">
        <v>27537</v>
      </c>
      <c r="K105" s="172">
        <v>26910</v>
      </c>
      <c r="L105" s="172">
        <v>5958</v>
      </c>
      <c r="M105" s="172">
        <v>883</v>
      </c>
      <c r="N105" s="172">
        <v>63450</v>
      </c>
      <c r="O105" s="172">
        <v>630</v>
      </c>
      <c r="P105" s="191">
        <v>0</v>
      </c>
      <c r="Q105" s="172">
        <v>327</v>
      </c>
      <c r="R105" s="172">
        <v>0</v>
      </c>
      <c r="S105" s="172">
        <v>0</v>
      </c>
      <c r="T105" s="172">
        <v>780</v>
      </c>
      <c r="U105" s="172">
        <v>3645</v>
      </c>
      <c r="V105" s="172">
        <v>1015</v>
      </c>
      <c r="W105" s="172">
        <v>195</v>
      </c>
      <c r="X105" s="172">
        <v>3625</v>
      </c>
      <c r="Y105" s="172"/>
      <c r="Z105" s="172">
        <v>13443</v>
      </c>
    </row>
    <row r="106" spans="1:26" s="134" customFormat="1" ht="12">
      <c r="A106" s="167" t="s">
        <v>1613</v>
      </c>
      <c r="B106" s="173">
        <f t="shared" si="23"/>
        <v>332231</v>
      </c>
      <c r="C106" s="173">
        <v>30212</v>
      </c>
      <c r="D106" s="173"/>
      <c r="E106" s="173">
        <v>80</v>
      </c>
      <c r="F106" s="173">
        <v>15916</v>
      </c>
      <c r="G106" s="173">
        <v>70541</v>
      </c>
      <c r="H106" s="173">
        <v>93</v>
      </c>
      <c r="I106" s="173">
        <v>1220</v>
      </c>
      <c r="J106" s="173">
        <v>26438</v>
      </c>
      <c r="K106" s="173">
        <v>26993</v>
      </c>
      <c r="L106" s="173">
        <v>1695</v>
      </c>
      <c r="M106" s="173">
        <v>2036</v>
      </c>
      <c r="N106" s="173">
        <v>139773</v>
      </c>
      <c r="O106" s="173">
        <v>940</v>
      </c>
      <c r="P106" s="188"/>
      <c r="Q106" s="173">
        <v>114</v>
      </c>
      <c r="R106" s="173"/>
      <c r="S106" s="173"/>
      <c r="T106" s="173">
        <v>454</v>
      </c>
      <c r="U106" s="173">
        <v>717</v>
      </c>
      <c r="V106" s="173"/>
      <c r="W106" s="173">
        <v>380</v>
      </c>
      <c r="X106" s="173">
        <v>5729</v>
      </c>
      <c r="Y106" s="173"/>
      <c r="Z106" s="173">
        <v>8900</v>
      </c>
    </row>
    <row r="107" spans="1:26" ht="15.95" customHeight="1">
      <c r="A107" s="167" t="s">
        <v>1614</v>
      </c>
      <c r="B107" s="172">
        <f t="shared" si="23"/>
        <v>106098</v>
      </c>
      <c r="C107" s="172">
        <v>16079</v>
      </c>
      <c r="D107" s="172"/>
      <c r="E107" s="172"/>
      <c r="F107" s="172">
        <v>11880</v>
      </c>
      <c r="G107" s="172">
        <v>23761</v>
      </c>
      <c r="H107" s="172">
        <v>63</v>
      </c>
      <c r="I107" s="172">
        <v>1733</v>
      </c>
      <c r="J107" s="172">
        <v>13449</v>
      </c>
      <c r="K107" s="172">
        <v>8426</v>
      </c>
      <c r="L107" s="172">
        <v>1023</v>
      </c>
      <c r="M107" s="172">
        <v>298</v>
      </c>
      <c r="N107" s="172">
        <v>24914</v>
      </c>
      <c r="O107" s="172">
        <v>180</v>
      </c>
      <c r="P107" s="191"/>
      <c r="Q107" s="172">
        <v>64</v>
      </c>
      <c r="R107" s="172"/>
      <c r="S107" s="172"/>
      <c r="T107" s="172">
        <v>518</v>
      </c>
      <c r="U107" s="172">
        <v>666</v>
      </c>
      <c r="V107" s="172">
        <v>384</v>
      </c>
      <c r="W107" s="172">
        <v>199</v>
      </c>
      <c r="X107" s="172">
        <v>912</v>
      </c>
      <c r="Y107" s="172"/>
      <c r="Z107" s="172">
        <v>1549</v>
      </c>
    </row>
    <row r="108" spans="1:26" ht="15.95" customHeight="1">
      <c r="A108" s="161" t="s">
        <v>1615</v>
      </c>
      <c r="B108" s="192">
        <f>B109+B110</f>
        <v>1500000</v>
      </c>
      <c r="C108" s="192">
        <f>C109+C110</f>
        <v>150000</v>
      </c>
      <c r="D108" s="192">
        <f t="shared" ref="D108:Z108" si="25">D109+D110</f>
        <v>0</v>
      </c>
      <c r="E108" s="192">
        <f t="shared" si="25"/>
        <v>1000</v>
      </c>
      <c r="F108" s="192">
        <f t="shared" si="25"/>
        <v>230000</v>
      </c>
      <c r="G108" s="192">
        <f t="shared" si="25"/>
        <v>280000</v>
      </c>
      <c r="H108" s="192">
        <f t="shared" si="25"/>
        <v>1000</v>
      </c>
      <c r="I108" s="192">
        <f t="shared" si="25"/>
        <v>20000</v>
      </c>
      <c r="J108" s="192">
        <f t="shared" si="25"/>
        <v>170000</v>
      </c>
      <c r="K108" s="192">
        <f t="shared" si="25"/>
        <v>100000</v>
      </c>
      <c r="L108" s="192">
        <f t="shared" si="25"/>
        <v>5000</v>
      </c>
      <c r="M108" s="192">
        <f t="shared" si="25"/>
        <v>33000</v>
      </c>
      <c r="N108" s="192">
        <f t="shared" si="25"/>
        <v>335600</v>
      </c>
      <c r="O108" s="192">
        <f t="shared" si="25"/>
        <v>50000</v>
      </c>
      <c r="P108" s="192">
        <f t="shared" si="25"/>
        <v>1000</v>
      </c>
      <c r="Q108" s="192">
        <f t="shared" si="25"/>
        <v>1000</v>
      </c>
      <c r="R108" s="192">
        <f t="shared" si="25"/>
        <v>0</v>
      </c>
      <c r="S108" s="192">
        <f t="shared" si="25"/>
        <v>0</v>
      </c>
      <c r="T108" s="192">
        <f t="shared" si="25"/>
        <v>5000</v>
      </c>
      <c r="U108" s="192">
        <f t="shared" si="25"/>
        <v>26000</v>
      </c>
      <c r="V108" s="192">
        <f t="shared" si="25"/>
        <v>500</v>
      </c>
      <c r="W108" s="192">
        <f t="shared" si="25"/>
        <v>5000</v>
      </c>
      <c r="X108" s="192">
        <f t="shared" si="25"/>
        <v>48300</v>
      </c>
      <c r="Y108" s="192">
        <f t="shared" si="25"/>
        <v>200</v>
      </c>
      <c r="Z108" s="192">
        <f t="shared" si="25"/>
        <v>37400</v>
      </c>
    </row>
    <row r="109" spans="1:26" ht="15.95" customHeight="1">
      <c r="A109" s="167" t="s">
        <v>1193</v>
      </c>
      <c r="B109" s="192">
        <f t="shared" ref="B109:B114" si="26">SUM(C109:Z109)</f>
        <v>152242</v>
      </c>
      <c r="C109" s="175">
        <v>28542</v>
      </c>
      <c r="D109" s="175">
        <v>0</v>
      </c>
      <c r="E109" s="175">
        <v>0</v>
      </c>
      <c r="F109" s="175">
        <v>15187</v>
      </c>
      <c r="G109" s="175">
        <v>30584</v>
      </c>
      <c r="H109" s="175">
        <f>1889-1423</f>
        <v>466</v>
      </c>
      <c r="I109" s="175">
        <v>5767</v>
      </c>
      <c r="J109" s="175">
        <f>1423+7925</f>
        <v>9348</v>
      </c>
      <c r="K109" s="175">
        <v>19465</v>
      </c>
      <c r="L109" s="175">
        <v>1215</v>
      </c>
      <c r="M109" s="175">
        <v>770</v>
      </c>
      <c r="N109" s="175">
        <v>11939</v>
      </c>
      <c r="O109" s="175">
        <v>741</v>
      </c>
      <c r="P109" s="175">
        <v>0</v>
      </c>
      <c r="Q109" s="175">
        <v>279</v>
      </c>
      <c r="R109" s="175">
        <v>0</v>
      </c>
      <c r="S109" s="175">
        <v>0</v>
      </c>
      <c r="T109" s="175">
        <v>1183</v>
      </c>
      <c r="U109" s="175">
        <v>0</v>
      </c>
      <c r="V109" s="175">
        <v>0</v>
      </c>
      <c r="W109" s="175">
        <v>2015</v>
      </c>
      <c r="X109" s="175">
        <v>4519</v>
      </c>
      <c r="Y109" s="175">
        <v>0</v>
      </c>
      <c r="Z109" s="175">
        <v>20222</v>
      </c>
    </row>
    <row r="110" spans="1:26" ht="15.95" customHeight="1">
      <c r="A110" s="167" t="s">
        <v>1194</v>
      </c>
      <c r="B110" s="192">
        <f>SUM(B111:B114)</f>
        <v>1347758</v>
      </c>
      <c r="C110" s="192">
        <f t="shared" ref="C110:Z110" si="27">SUM(C111:C114)</f>
        <v>121458</v>
      </c>
      <c r="D110" s="192">
        <f t="shared" si="27"/>
        <v>0</v>
      </c>
      <c r="E110" s="192">
        <f t="shared" si="27"/>
        <v>1000</v>
      </c>
      <c r="F110" s="192">
        <f t="shared" si="27"/>
        <v>214813</v>
      </c>
      <c r="G110" s="192">
        <f t="shared" si="27"/>
        <v>249416</v>
      </c>
      <c r="H110" s="192">
        <f t="shared" si="27"/>
        <v>534</v>
      </c>
      <c r="I110" s="192">
        <f t="shared" si="27"/>
        <v>14233</v>
      </c>
      <c r="J110" s="192">
        <f t="shared" si="27"/>
        <v>160652</v>
      </c>
      <c r="K110" s="192">
        <f t="shared" si="27"/>
        <v>80535</v>
      </c>
      <c r="L110" s="192">
        <f t="shared" si="27"/>
        <v>3785</v>
      </c>
      <c r="M110" s="192">
        <f t="shared" si="27"/>
        <v>32230</v>
      </c>
      <c r="N110" s="192">
        <f t="shared" si="27"/>
        <v>323661</v>
      </c>
      <c r="O110" s="192">
        <f t="shared" si="27"/>
        <v>49259</v>
      </c>
      <c r="P110" s="192">
        <f t="shared" si="27"/>
        <v>1000</v>
      </c>
      <c r="Q110" s="192">
        <f t="shared" si="27"/>
        <v>721</v>
      </c>
      <c r="R110" s="192">
        <f t="shared" si="27"/>
        <v>0</v>
      </c>
      <c r="S110" s="192">
        <f t="shared" si="27"/>
        <v>0</v>
      </c>
      <c r="T110" s="192">
        <f t="shared" si="27"/>
        <v>3817</v>
      </c>
      <c r="U110" s="192">
        <f t="shared" si="27"/>
        <v>26000</v>
      </c>
      <c r="V110" s="192">
        <f t="shared" si="27"/>
        <v>500</v>
      </c>
      <c r="W110" s="192">
        <f t="shared" si="27"/>
        <v>2985</v>
      </c>
      <c r="X110" s="192">
        <f t="shared" si="27"/>
        <v>43781</v>
      </c>
      <c r="Y110" s="192">
        <f t="shared" si="27"/>
        <v>200</v>
      </c>
      <c r="Z110" s="192">
        <f t="shared" si="27"/>
        <v>17178</v>
      </c>
    </row>
    <row r="111" spans="1:26" ht="15.95" customHeight="1">
      <c r="A111" s="167" t="s">
        <v>1616</v>
      </c>
      <c r="B111" s="192">
        <f t="shared" si="26"/>
        <v>440000</v>
      </c>
      <c r="C111" s="176">
        <f>30098+3022+233</f>
        <v>33353</v>
      </c>
      <c r="D111" s="176"/>
      <c r="E111" s="176">
        <v>355</v>
      </c>
      <c r="F111" s="176">
        <f>64392</f>
        <v>64392</v>
      </c>
      <c r="G111" s="176">
        <v>86876</v>
      </c>
      <c r="H111" s="176">
        <v>156</v>
      </c>
      <c r="I111" s="176">
        <f>5065-834</f>
        <v>4231</v>
      </c>
      <c r="J111" s="176">
        <v>56276</v>
      </c>
      <c r="K111" s="176">
        <v>24265</v>
      </c>
      <c r="L111" s="176">
        <v>1062</v>
      </c>
      <c r="M111" s="176">
        <v>5694</v>
      </c>
      <c r="N111" s="176">
        <f>238+112530</f>
        <v>112768</v>
      </c>
      <c r="O111" s="176">
        <v>16697</v>
      </c>
      <c r="P111" s="176">
        <v>448</v>
      </c>
      <c r="Q111" s="176">
        <v>217</v>
      </c>
      <c r="R111" s="176"/>
      <c r="S111" s="176"/>
      <c r="T111" s="176">
        <f>2023-609</f>
        <v>1414</v>
      </c>
      <c r="U111" s="176">
        <v>7862</v>
      </c>
      <c r="V111" s="176">
        <v>108</v>
      </c>
      <c r="W111" s="176">
        <v>1031</v>
      </c>
      <c r="X111" s="176">
        <v>16243</v>
      </c>
      <c r="Y111" s="176">
        <v>100</v>
      </c>
      <c r="Z111" s="176">
        <v>6452</v>
      </c>
    </row>
    <row r="112" spans="1:26" ht="15.95" customHeight="1">
      <c r="A112" s="167" t="s">
        <v>1617</v>
      </c>
      <c r="B112" s="192">
        <f t="shared" si="26"/>
        <v>540000</v>
      </c>
      <c r="C112" s="176">
        <f>4038+43000-3022</f>
        <v>44016</v>
      </c>
      <c r="D112" s="176"/>
      <c r="E112" s="176">
        <f>149+400</f>
        <v>549</v>
      </c>
      <c r="F112" s="176">
        <f>6044+61000</f>
        <v>67044</v>
      </c>
      <c r="G112" s="176">
        <f>100200</f>
        <v>100200</v>
      </c>
      <c r="H112" s="176">
        <v>160</v>
      </c>
      <c r="I112" s="176">
        <v>4200</v>
      </c>
      <c r="J112" s="176">
        <v>59000</v>
      </c>
      <c r="K112" s="176">
        <f>33000-571</f>
        <v>32429</v>
      </c>
      <c r="L112" s="176">
        <f>1700-523</f>
        <v>1177</v>
      </c>
      <c r="M112" s="176">
        <f>434+17000</f>
        <v>17434</v>
      </c>
      <c r="N112" s="176">
        <v>157400</v>
      </c>
      <c r="O112" s="176">
        <v>15200</v>
      </c>
      <c r="P112" s="176">
        <f>800-348</f>
        <v>452</v>
      </c>
      <c r="Q112" s="176">
        <v>200</v>
      </c>
      <c r="R112" s="176"/>
      <c r="S112" s="176"/>
      <c r="T112" s="176">
        <v>1100</v>
      </c>
      <c r="U112" s="176">
        <v>13000</v>
      </c>
      <c r="V112" s="176">
        <f>350-58</f>
        <v>292</v>
      </c>
      <c r="W112" s="176">
        <f>840-75</f>
        <v>765</v>
      </c>
      <c r="X112" s="176">
        <v>18332</v>
      </c>
      <c r="Y112" s="176">
        <v>65</v>
      </c>
      <c r="Z112" s="176">
        <f>7008-23</f>
        <v>6985</v>
      </c>
    </row>
    <row r="113" spans="1:26" ht="15.95" customHeight="1">
      <c r="A113" s="167" t="s">
        <v>1618</v>
      </c>
      <c r="B113" s="192">
        <f t="shared" si="26"/>
        <v>210000</v>
      </c>
      <c r="C113" s="176">
        <f>24367+151-233</f>
        <v>24285</v>
      </c>
      <c r="D113" s="176"/>
      <c r="E113" s="176">
        <v>96</v>
      </c>
      <c r="F113" s="176">
        <f>56761-6044</f>
        <v>50717</v>
      </c>
      <c r="G113" s="176">
        <v>38101</v>
      </c>
      <c r="H113" s="176">
        <v>113</v>
      </c>
      <c r="I113" s="176">
        <v>2888</v>
      </c>
      <c r="J113" s="176">
        <f>806+24863</f>
        <v>25669</v>
      </c>
      <c r="K113" s="176">
        <v>12995</v>
      </c>
      <c r="L113" s="176">
        <v>522</v>
      </c>
      <c r="M113" s="176">
        <v>4251</v>
      </c>
      <c r="N113" s="176">
        <v>29163</v>
      </c>
      <c r="O113" s="176">
        <f>980+7857</f>
        <v>8837</v>
      </c>
      <c r="P113" s="176">
        <v>100</v>
      </c>
      <c r="Q113" s="176">
        <v>201</v>
      </c>
      <c r="R113" s="176"/>
      <c r="S113" s="176"/>
      <c r="T113" s="176">
        <v>557</v>
      </c>
      <c r="U113" s="176">
        <f>1306+482</f>
        <v>1788</v>
      </c>
      <c r="V113" s="176">
        <v>100</v>
      </c>
      <c r="W113" s="176">
        <v>753</v>
      </c>
      <c r="X113" s="176">
        <f>94+6040</f>
        <v>6134</v>
      </c>
      <c r="Y113" s="176">
        <v>30</v>
      </c>
      <c r="Z113" s="176">
        <v>2700</v>
      </c>
    </row>
    <row r="114" spans="1:26" ht="15.95" customHeight="1">
      <c r="A114" s="168" t="s">
        <v>1619</v>
      </c>
      <c r="B114" s="192">
        <f t="shared" si="26"/>
        <v>157758</v>
      </c>
      <c r="C114" s="176">
        <f>23842-4038</f>
        <v>19804</v>
      </c>
      <c r="D114" s="176"/>
      <c r="E114" s="176"/>
      <c r="F114" s="176">
        <f>6754+25906</f>
        <v>32660</v>
      </c>
      <c r="G114" s="176">
        <f>24685-446</f>
        <v>24239</v>
      </c>
      <c r="H114" s="176">
        <v>105</v>
      </c>
      <c r="I114" s="176">
        <v>2914</v>
      </c>
      <c r="J114" s="176">
        <v>19707</v>
      </c>
      <c r="K114" s="176">
        <v>10846</v>
      </c>
      <c r="L114" s="176">
        <v>1024</v>
      </c>
      <c r="M114" s="176">
        <v>4851</v>
      </c>
      <c r="N114" s="176">
        <v>24330</v>
      </c>
      <c r="O114" s="176">
        <v>8525</v>
      </c>
      <c r="P114" s="176"/>
      <c r="Q114" s="176">
        <v>103</v>
      </c>
      <c r="R114" s="176"/>
      <c r="S114" s="176"/>
      <c r="T114" s="176">
        <v>746</v>
      </c>
      <c r="U114" s="176">
        <v>3350</v>
      </c>
      <c r="V114" s="176"/>
      <c r="W114" s="176">
        <v>436</v>
      </c>
      <c r="X114" s="176">
        <v>3072</v>
      </c>
      <c r="Y114" s="176">
        <v>5</v>
      </c>
      <c r="Z114" s="176">
        <v>1041</v>
      </c>
    </row>
    <row r="115" spans="1:26">
      <c r="A115" s="161" t="s">
        <v>1620</v>
      </c>
      <c r="B115" s="153">
        <f>SUM(B116:B117)</f>
        <v>6215057</v>
      </c>
      <c r="C115" s="153">
        <f>SUM(C116:C117)</f>
        <v>523135</v>
      </c>
      <c r="D115" s="153">
        <f t="shared" ref="D115:Z115" si="28">SUM(D116:D117)</f>
        <v>0</v>
      </c>
      <c r="E115" s="153">
        <f t="shared" si="28"/>
        <v>9161</v>
      </c>
      <c r="F115" s="153">
        <f t="shared" si="28"/>
        <v>409615</v>
      </c>
      <c r="G115" s="153">
        <f t="shared" si="28"/>
        <v>1707941</v>
      </c>
      <c r="H115" s="153">
        <f t="shared" si="28"/>
        <v>6159</v>
      </c>
      <c r="I115" s="153">
        <f t="shared" si="28"/>
        <v>53549</v>
      </c>
      <c r="J115" s="153">
        <f t="shared" si="28"/>
        <v>689240</v>
      </c>
      <c r="K115" s="153">
        <f t="shared" si="28"/>
        <v>654483</v>
      </c>
      <c r="L115" s="153">
        <f t="shared" si="28"/>
        <v>175028</v>
      </c>
      <c r="M115" s="153">
        <f t="shared" si="28"/>
        <v>218315</v>
      </c>
      <c r="N115" s="153">
        <f t="shared" si="28"/>
        <v>1203015</v>
      </c>
      <c r="O115" s="153">
        <f t="shared" si="28"/>
        <v>73924</v>
      </c>
      <c r="P115" s="153">
        <f t="shared" si="28"/>
        <v>35152</v>
      </c>
      <c r="Q115" s="153">
        <f t="shared" si="28"/>
        <v>11029</v>
      </c>
      <c r="R115" s="153">
        <f t="shared" si="28"/>
        <v>282</v>
      </c>
      <c r="S115" s="153">
        <f t="shared" si="28"/>
        <v>0</v>
      </c>
      <c r="T115" s="153">
        <f t="shared" si="28"/>
        <v>19768</v>
      </c>
      <c r="U115" s="153">
        <f t="shared" si="28"/>
        <v>160881</v>
      </c>
      <c r="V115" s="153">
        <f t="shared" si="28"/>
        <v>19656</v>
      </c>
      <c r="W115" s="153">
        <f t="shared" si="28"/>
        <v>19737</v>
      </c>
      <c r="X115" s="153">
        <f t="shared" si="28"/>
        <v>86612</v>
      </c>
      <c r="Y115" s="153">
        <f t="shared" si="28"/>
        <v>301</v>
      </c>
      <c r="Z115" s="153">
        <f t="shared" si="28"/>
        <v>138074</v>
      </c>
    </row>
    <row r="116" spans="1:26">
      <c r="A116" s="167" t="s">
        <v>1646</v>
      </c>
      <c r="B116" s="153">
        <f>SUM(C116:Z116)</f>
        <v>652932</v>
      </c>
      <c r="C116" s="153">
        <v>96345</v>
      </c>
      <c r="D116" s="153">
        <v>0</v>
      </c>
      <c r="E116" s="153">
        <v>7656</v>
      </c>
      <c r="F116" s="153">
        <v>37741</v>
      </c>
      <c r="G116" s="153">
        <v>77935</v>
      </c>
      <c r="H116" s="153">
        <v>1850</v>
      </c>
      <c r="I116" s="153">
        <v>18236</v>
      </c>
      <c r="J116" s="153">
        <v>38492</v>
      </c>
      <c r="K116" s="153">
        <v>85411</v>
      </c>
      <c r="L116" s="153">
        <v>1795</v>
      </c>
      <c r="M116" s="153">
        <v>107066</v>
      </c>
      <c r="N116" s="153">
        <v>39129</v>
      </c>
      <c r="O116" s="153">
        <v>38543</v>
      </c>
      <c r="P116" s="153">
        <v>7831</v>
      </c>
      <c r="Q116" s="153">
        <v>6235</v>
      </c>
      <c r="R116" s="153">
        <v>50</v>
      </c>
      <c r="S116" s="153">
        <v>0</v>
      </c>
      <c r="T116" s="153">
        <v>8047</v>
      </c>
      <c r="U116" s="153">
        <v>7453</v>
      </c>
      <c r="V116" s="153">
        <v>1457</v>
      </c>
      <c r="W116" s="153">
        <v>8746</v>
      </c>
      <c r="X116" s="153">
        <v>3046</v>
      </c>
      <c r="Y116" s="153">
        <v>34</v>
      </c>
      <c r="Z116" s="153">
        <v>59834</v>
      </c>
    </row>
    <row r="117" spans="1:26">
      <c r="A117" s="167" t="s">
        <v>1194</v>
      </c>
      <c r="B117" s="153">
        <f>SUM(C117:Z117)</f>
        <v>5562125</v>
      </c>
      <c r="C117" s="153">
        <f t="shared" ref="C117:Z117" si="29">SUM(C118:C129)</f>
        <v>426790</v>
      </c>
      <c r="D117" s="153">
        <f t="shared" si="29"/>
        <v>0</v>
      </c>
      <c r="E117" s="153">
        <f t="shared" si="29"/>
        <v>1505</v>
      </c>
      <c r="F117" s="153">
        <f t="shared" si="29"/>
        <v>371874</v>
      </c>
      <c r="G117" s="153">
        <f t="shared" si="29"/>
        <v>1630006</v>
      </c>
      <c r="H117" s="153">
        <f t="shared" si="29"/>
        <v>4309</v>
      </c>
      <c r="I117" s="153">
        <f t="shared" si="29"/>
        <v>35313</v>
      </c>
      <c r="J117" s="153">
        <f t="shared" si="29"/>
        <v>650748</v>
      </c>
      <c r="K117" s="153">
        <f t="shared" si="29"/>
        <v>569072</v>
      </c>
      <c r="L117" s="153">
        <f t="shared" si="29"/>
        <v>173233</v>
      </c>
      <c r="M117" s="153">
        <f t="shared" si="29"/>
        <v>111249</v>
      </c>
      <c r="N117" s="153">
        <f t="shared" si="29"/>
        <v>1163886</v>
      </c>
      <c r="O117" s="153">
        <f t="shared" si="29"/>
        <v>35381</v>
      </c>
      <c r="P117" s="153">
        <f t="shared" si="29"/>
        <v>27321</v>
      </c>
      <c r="Q117" s="153">
        <f t="shared" si="29"/>
        <v>4794</v>
      </c>
      <c r="R117" s="153">
        <f t="shared" si="29"/>
        <v>232</v>
      </c>
      <c r="S117" s="153">
        <f t="shared" si="29"/>
        <v>0</v>
      </c>
      <c r="T117" s="153">
        <f t="shared" si="29"/>
        <v>11721</v>
      </c>
      <c r="U117" s="153">
        <f t="shared" si="29"/>
        <v>153428</v>
      </c>
      <c r="V117" s="153">
        <f t="shared" si="29"/>
        <v>18199</v>
      </c>
      <c r="W117" s="153">
        <f t="shared" si="29"/>
        <v>10991</v>
      </c>
      <c r="X117" s="153">
        <f t="shared" si="29"/>
        <v>83566</v>
      </c>
      <c r="Y117" s="153">
        <f t="shared" si="29"/>
        <v>267</v>
      </c>
      <c r="Z117" s="153">
        <f t="shared" si="29"/>
        <v>78240</v>
      </c>
    </row>
    <row r="118" spans="1:26">
      <c r="A118" s="167" t="s">
        <v>1621</v>
      </c>
      <c r="B118" s="153">
        <f>SUM(C118:Z118)</f>
        <v>907785</v>
      </c>
      <c r="C118" s="177">
        <v>65567</v>
      </c>
      <c r="D118" s="153"/>
      <c r="E118" s="153"/>
      <c r="F118" s="153">
        <v>78362</v>
      </c>
      <c r="G118" s="153">
        <v>302845</v>
      </c>
      <c r="H118" s="153">
        <v>2611</v>
      </c>
      <c r="I118" s="153">
        <v>6229</v>
      </c>
      <c r="J118" s="153">
        <v>66618</v>
      </c>
      <c r="K118" s="153">
        <v>103064</v>
      </c>
      <c r="L118" s="153">
        <v>18148</v>
      </c>
      <c r="M118" s="153">
        <v>88539</v>
      </c>
      <c r="N118" s="153">
        <v>72621</v>
      </c>
      <c r="O118" s="153">
        <v>11249</v>
      </c>
      <c r="P118" s="153">
        <v>3678</v>
      </c>
      <c r="Q118" s="153">
        <v>1314</v>
      </c>
      <c r="R118" s="153">
        <v>108</v>
      </c>
      <c r="S118" s="153"/>
      <c r="T118" s="153">
        <v>2511</v>
      </c>
      <c r="U118" s="153">
        <v>40683</v>
      </c>
      <c r="V118" s="153">
        <v>1675</v>
      </c>
      <c r="W118" s="153">
        <v>1075</v>
      </c>
      <c r="X118" s="153">
        <v>14220</v>
      </c>
      <c r="Y118" s="153"/>
      <c r="Z118" s="153">
        <v>26668</v>
      </c>
    </row>
    <row r="119" spans="1:26">
      <c r="A119" s="168" t="s">
        <v>1622</v>
      </c>
      <c r="B119" s="153">
        <f t="shared" ref="B119:B124" si="30">SUM(C119:Z119)</f>
        <v>984837</v>
      </c>
      <c r="C119" s="153">
        <v>71686</v>
      </c>
      <c r="D119" s="153"/>
      <c r="E119" s="153"/>
      <c r="F119" s="153">
        <v>48726</v>
      </c>
      <c r="G119" s="153">
        <v>312495</v>
      </c>
      <c r="H119" s="153">
        <v>164</v>
      </c>
      <c r="I119" s="153">
        <v>4418</v>
      </c>
      <c r="J119" s="153">
        <v>130580</v>
      </c>
      <c r="K119" s="153">
        <v>94086</v>
      </c>
      <c r="L119" s="153">
        <v>40144</v>
      </c>
      <c r="M119" s="153">
        <v>2192</v>
      </c>
      <c r="N119" s="153">
        <v>217919</v>
      </c>
      <c r="O119" s="153">
        <v>3949</v>
      </c>
      <c r="P119" s="153">
        <v>8624</v>
      </c>
      <c r="Q119" s="153">
        <v>272</v>
      </c>
      <c r="R119" s="153">
        <v>64</v>
      </c>
      <c r="S119" s="153"/>
      <c r="T119" s="153">
        <v>1415</v>
      </c>
      <c r="U119" s="153">
        <v>27555</v>
      </c>
      <c r="V119" s="153">
        <v>3746</v>
      </c>
      <c r="W119" s="153">
        <v>586</v>
      </c>
      <c r="X119" s="153">
        <v>10395</v>
      </c>
      <c r="Y119" s="153">
        <v>100</v>
      </c>
      <c r="Z119" s="153">
        <v>5721</v>
      </c>
    </row>
    <row r="120" spans="1:26">
      <c r="A120" s="167" t="s">
        <v>1623</v>
      </c>
      <c r="B120" s="153">
        <f t="shared" si="30"/>
        <v>421300</v>
      </c>
      <c r="C120" s="153">
        <v>41199</v>
      </c>
      <c r="D120" s="153"/>
      <c r="E120" s="153"/>
      <c r="F120" s="153">
        <v>38214</v>
      </c>
      <c r="G120" s="153">
        <v>114545</v>
      </c>
      <c r="H120" s="153">
        <v>195</v>
      </c>
      <c r="I120" s="153">
        <v>1725</v>
      </c>
      <c r="J120" s="153">
        <v>45412</v>
      </c>
      <c r="K120" s="153">
        <v>53223</v>
      </c>
      <c r="L120" s="153">
        <v>1145</v>
      </c>
      <c r="M120" s="153">
        <v>1208</v>
      </c>
      <c r="N120" s="153">
        <v>88832</v>
      </c>
      <c r="O120" s="153">
        <v>5712</v>
      </c>
      <c r="P120" s="153">
        <v>2869</v>
      </c>
      <c r="Q120" s="153">
        <v>162</v>
      </c>
      <c r="R120" s="153">
        <v>33</v>
      </c>
      <c r="S120" s="153"/>
      <c r="T120" s="153">
        <v>730</v>
      </c>
      <c r="U120" s="153">
        <v>10101</v>
      </c>
      <c r="V120" s="153">
        <v>1248</v>
      </c>
      <c r="W120" s="153">
        <v>592</v>
      </c>
      <c r="X120" s="153">
        <v>6900</v>
      </c>
      <c r="Y120" s="153">
        <v>55</v>
      </c>
      <c r="Z120" s="153">
        <v>7200</v>
      </c>
    </row>
    <row r="121" spans="1:26">
      <c r="A121" s="168" t="s">
        <v>1624</v>
      </c>
      <c r="B121" s="153">
        <f t="shared" si="30"/>
        <v>355165</v>
      </c>
      <c r="C121" s="153">
        <v>22891</v>
      </c>
      <c r="D121" s="153"/>
      <c r="E121" s="153"/>
      <c r="F121" s="153">
        <v>19867</v>
      </c>
      <c r="G121" s="153">
        <v>110655</v>
      </c>
      <c r="H121" s="153">
        <v>156</v>
      </c>
      <c r="I121" s="153">
        <v>1712</v>
      </c>
      <c r="J121" s="153">
        <v>46452</v>
      </c>
      <c r="K121" s="153">
        <v>33924</v>
      </c>
      <c r="L121" s="153">
        <v>10014</v>
      </c>
      <c r="M121" s="153">
        <v>1018</v>
      </c>
      <c r="N121" s="153">
        <v>84112</v>
      </c>
      <c r="O121" s="153">
        <v>1338</v>
      </c>
      <c r="P121" s="153">
        <v>597</v>
      </c>
      <c r="Q121" s="153">
        <v>246</v>
      </c>
      <c r="R121" s="153">
        <v>1</v>
      </c>
      <c r="S121" s="153"/>
      <c r="T121" s="153">
        <v>644</v>
      </c>
      <c r="U121" s="153">
        <v>13050</v>
      </c>
      <c r="V121" s="153">
        <v>2040</v>
      </c>
      <c r="W121" s="153">
        <v>1206</v>
      </c>
      <c r="X121" s="153">
        <v>4212</v>
      </c>
      <c r="Y121" s="153">
        <v>30</v>
      </c>
      <c r="Z121" s="153">
        <v>1000</v>
      </c>
    </row>
    <row r="122" spans="1:26">
      <c r="A122" s="168" t="s">
        <v>1625</v>
      </c>
      <c r="B122" s="153">
        <f>SUM(C122:Z122)</f>
        <v>647004</v>
      </c>
      <c r="C122" s="153">
        <v>50500</v>
      </c>
      <c r="D122" s="153"/>
      <c r="E122" s="153"/>
      <c r="F122" s="153">
        <v>47263</v>
      </c>
      <c r="G122" s="153">
        <v>189832</v>
      </c>
      <c r="H122" s="153">
        <v>238</v>
      </c>
      <c r="I122" s="153">
        <v>2865</v>
      </c>
      <c r="J122" s="153">
        <v>86972</v>
      </c>
      <c r="K122" s="153">
        <v>63400</v>
      </c>
      <c r="L122" s="153">
        <v>15481</v>
      </c>
      <c r="M122" s="153">
        <v>1456</v>
      </c>
      <c r="N122" s="153">
        <v>160129</v>
      </c>
      <c r="O122" s="153">
        <v>2558</v>
      </c>
      <c r="P122" s="153"/>
      <c r="Q122" s="153">
        <v>592</v>
      </c>
      <c r="R122" s="153"/>
      <c r="S122" s="153"/>
      <c r="T122" s="153">
        <v>1040</v>
      </c>
      <c r="U122" s="153">
        <v>6987</v>
      </c>
      <c r="V122" s="153">
        <v>3140</v>
      </c>
      <c r="W122" s="153">
        <v>461</v>
      </c>
      <c r="X122" s="153">
        <v>12890</v>
      </c>
      <c r="Y122" s="153"/>
      <c r="Z122" s="153">
        <v>1200</v>
      </c>
    </row>
    <row r="123" spans="1:26">
      <c r="A123" s="167" t="s">
        <v>1626</v>
      </c>
      <c r="B123" s="153">
        <f t="shared" si="30"/>
        <v>495541</v>
      </c>
      <c r="C123" s="153">
        <v>24802</v>
      </c>
      <c r="D123" s="153"/>
      <c r="E123" s="153"/>
      <c r="F123" s="153">
        <v>29499</v>
      </c>
      <c r="G123" s="153">
        <v>138186</v>
      </c>
      <c r="H123" s="153">
        <v>209</v>
      </c>
      <c r="I123" s="153">
        <v>2407</v>
      </c>
      <c r="J123" s="153">
        <v>58211</v>
      </c>
      <c r="K123" s="153">
        <v>48043</v>
      </c>
      <c r="L123" s="153">
        <v>21468</v>
      </c>
      <c r="M123" s="153">
        <v>4514</v>
      </c>
      <c r="N123" s="153">
        <v>126504</v>
      </c>
      <c r="O123" s="153">
        <v>3616</v>
      </c>
      <c r="P123" s="153">
        <v>4358</v>
      </c>
      <c r="Q123" s="153">
        <v>372</v>
      </c>
      <c r="R123" s="153"/>
      <c r="S123" s="153"/>
      <c r="T123" s="153">
        <v>983</v>
      </c>
      <c r="U123" s="153">
        <v>9884</v>
      </c>
      <c r="V123" s="153">
        <v>2234</v>
      </c>
      <c r="W123" s="153">
        <v>2108</v>
      </c>
      <c r="X123" s="153">
        <v>7593</v>
      </c>
      <c r="Y123" s="153">
        <v>82</v>
      </c>
      <c r="Z123" s="153">
        <v>10468</v>
      </c>
    </row>
    <row r="124" spans="1:26">
      <c r="A124" s="167" t="s">
        <v>1627</v>
      </c>
      <c r="B124" s="153">
        <f t="shared" si="30"/>
        <v>434019</v>
      </c>
      <c r="C124" s="153">
        <v>23486</v>
      </c>
      <c r="D124" s="153"/>
      <c r="E124" s="153"/>
      <c r="F124" s="153">
        <v>24304</v>
      </c>
      <c r="G124" s="153">
        <v>123146</v>
      </c>
      <c r="H124" s="153">
        <v>103</v>
      </c>
      <c r="I124" s="153">
        <v>2155</v>
      </c>
      <c r="J124" s="153">
        <v>54095</v>
      </c>
      <c r="K124" s="153">
        <v>47303</v>
      </c>
      <c r="L124" s="153">
        <v>18128</v>
      </c>
      <c r="M124" s="153">
        <v>3904</v>
      </c>
      <c r="N124" s="153">
        <v>109001</v>
      </c>
      <c r="O124" s="153">
        <v>2575</v>
      </c>
      <c r="P124" s="153">
        <v>260</v>
      </c>
      <c r="Q124" s="153">
        <v>390</v>
      </c>
      <c r="R124" s="153"/>
      <c r="S124" s="153"/>
      <c r="T124" s="153">
        <v>824</v>
      </c>
      <c r="U124" s="153">
        <v>9272</v>
      </c>
      <c r="V124" s="153">
        <v>717</v>
      </c>
      <c r="W124" s="153">
        <v>1371</v>
      </c>
      <c r="X124" s="153">
        <v>8243</v>
      </c>
      <c r="Y124" s="153"/>
      <c r="Z124" s="153">
        <v>4742</v>
      </c>
    </row>
    <row r="125" spans="1:26">
      <c r="A125" s="168" t="s">
        <v>1628</v>
      </c>
      <c r="B125" s="153">
        <f t="shared" ref="B125:B130" si="31">SUM(C125:Z125)</f>
        <v>285516</v>
      </c>
      <c r="C125" s="153">
        <v>28497</v>
      </c>
      <c r="D125" s="153"/>
      <c r="E125" s="153"/>
      <c r="F125" s="153">
        <v>26012</v>
      </c>
      <c r="G125" s="153">
        <v>76182</v>
      </c>
      <c r="H125" s="153">
        <v>122</v>
      </c>
      <c r="I125" s="153">
        <v>1909</v>
      </c>
      <c r="J125" s="153">
        <v>35286</v>
      </c>
      <c r="K125" s="153">
        <v>27547</v>
      </c>
      <c r="L125" s="153">
        <v>11824</v>
      </c>
      <c r="M125" s="153">
        <v>1251</v>
      </c>
      <c r="N125" s="153">
        <v>59994</v>
      </c>
      <c r="O125" s="153">
        <v>901</v>
      </c>
      <c r="P125" s="153"/>
      <c r="Q125" s="153">
        <v>110</v>
      </c>
      <c r="R125" s="153"/>
      <c r="S125" s="153"/>
      <c r="T125" s="153">
        <v>640</v>
      </c>
      <c r="U125" s="153">
        <v>6265</v>
      </c>
      <c r="V125" s="153">
        <v>686</v>
      </c>
      <c r="W125" s="153">
        <v>330</v>
      </c>
      <c r="X125" s="153">
        <v>3601</v>
      </c>
      <c r="Y125" s="153"/>
      <c r="Z125" s="153">
        <v>4359</v>
      </c>
    </row>
    <row r="126" spans="1:26">
      <c r="A126" s="168" t="s">
        <v>1629</v>
      </c>
      <c r="B126" s="153">
        <f t="shared" si="31"/>
        <v>231020</v>
      </c>
      <c r="C126" s="153">
        <v>21580</v>
      </c>
      <c r="D126" s="153"/>
      <c r="E126" s="153"/>
      <c r="F126" s="153">
        <v>13062</v>
      </c>
      <c r="G126" s="153">
        <v>68841</v>
      </c>
      <c r="H126" s="153">
        <v>114</v>
      </c>
      <c r="I126" s="153">
        <v>2721</v>
      </c>
      <c r="J126" s="153">
        <v>36040</v>
      </c>
      <c r="K126" s="153">
        <v>28299</v>
      </c>
      <c r="L126" s="153">
        <v>5710</v>
      </c>
      <c r="M126" s="153">
        <v>705</v>
      </c>
      <c r="N126" s="153">
        <v>39966</v>
      </c>
      <c r="O126" s="153">
        <v>1124</v>
      </c>
      <c r="P126" s="153">
        <v>2846</v>
      </c>
      <c r="Q126" s="153">
        <v>310</v>
      </c>
      <c r="R126" s="153">
        <v>26</v>
      </c>
      <c r="S126" s="153"/>
      <c r="T126" s="153">
        <v>902</v>
      </c>
      <c r="U126" s="153">
        <v>4890</v>
      </c>
      <c r="V126" s="153">
        <v>478</v>
      </c>
      <c r="W126" s="153">
        <v>857</v>
      </c>
      <c r="X126" s="153">
        <v>2317</v>
      </c>
      <c r="Y126" s="153"/>
      <c r="Z126" s="153">
        <v>232</v>
      </c>
    </row>
    <row r="127" spans="1:26">
      <c r="A127" s="168" t="s">
        <v>1630</v>
      </c>
      <c r="B127" s="153">
        <f t="shared" si="31"/>
        <v>386818</v>
      </c>
      <c r="C127" s="153">
        <v>22087</v>
      </c>
      <c r="D127" s="153"/>
      <c r="E127" s="153"/>
      <c r="F127" s="153">
        <v>27197</v>
      </c>
      <c r="G127" s="153">
        <v>99533</v>
      </c>
      <c r="H127" s="153">
        <v>70</v>
      </c>
      <c r="I127" s="153">
        <v>2700</v>
      </c>
      <c r="J127" s="153">
        <v>47314</v>
      </c>
      <c r="K127" s="153">
        <v>36232</v>
      </c>
      <c r="L127" s="153">
        <v>14137</v>
      </c>
      <c r="M127" s="153">
        <v>1827</v>
      </c>
      <c r="N127" s="153">
        <v>109055</v>
      </c>
      <c r="O127" s="153">
        <v>874</v>
      </c>
      <c r="P127" s="153">
        <v>3616</v>
      </c>
      <c r="Q127" s="153">
        <v>238</v>
      </c>
      <c r="R127" s="153"/>
      <c r="S127" s="153"/>
      <c r="T127" s="153">
        <v>919</v>
      </c>
      <c r="U127" s="153">
        <v>9721</v>
      </c>
      <c r="V127" s="153">
        <v>1900</v>
      </c>
      <c r="W127" s="153">
        <v>985</v>
      </c>
      <c r="X127" s="153">
        <v>5413</v>
      </c>
      <c r="Y127" s="153"/>
      <c r="Z127" s="153">
        <v>3000</v>
      </c>
    </row>
    <row r="128" spans="1:26">
      <c r="A128" s="168" t="s">
        <v>1631</v>
      </c>
      <c r="B128" s="153">
        <f t="shared" si="31"/>
        <v>268620</v>
      </c>
      <c r="C128" s="153">
        <v>17848</v>
      </c>
      <c r="D128" s="153"/>
      <c r="E128" s="153"/>
      <c r="F128" s="153">
        <v>13643</v>
      </c>
      <c r="G128" s="153">
        <v>72775</v>
      </c>
      <c r="H128" s="153">
        <v>321</v>
      </c>
      <c r="I128" s="153">
        <v>3131</v>
      </c>
      <c r="J128" s="153">
        <v>31171</v>
      </c>
      <c r="K128" s="153">
        <v>24228</v>
      </c>
      <c r="L128" s="153">
        <v>15356</v>
      </c>
      <c r="M128" s="153">
        <v>3840</v>
      </c>
      <c r="N128" s="153">
        <v>67641</v>
      </c>
      <c r="O128" s="153">
        <v>1062</v>
      </c>
      <c r="P128" s="153">
        <v>473</v>
      </c>
      <c r="Q128" s="153">
        <v>554</v>
      </c>
      <c r="R128" s="153"/>
      <c r="S128" s="153"/>
      <c r="T128" s="153">
        <v>642</v>
      </c>
      <c r="U128" s="153">
        <v>11238</v>
      </c>
      <c r="V128" s="153"/>
      <c r="W128" s="153">
        <v>960</v>
      </c>
      <c r="X128" s="153">
        <v>3561</v>
      </c>
      <c r="Y128" s="153"/>
      <c r="Z128" s="153">
        <v>176</v>
      </c>
    </row>
    <row r="129" spans="1:27">
      <c r="A129" s="168" t="s">
        <v>1632</v>
      </c>
      <c r="B129" s="153">
        <f t="shared" si="31"/>
        <v>144500</v>
      </c>
      <c r="C129" s="153">
        <v>36647</v>
      </c>
      <c r="D129" s="153"/>
      <c r="E129" s="153">
        <v>1505</v>
      </c>
      <c r="F129" s="153">
        <v>5725</v>
      </c>
      <c r="G129" s="153">
        <v>20971</v>
      </c>
      <c r="H129" s="153">
        <v>6</v>
      </c>
      <c r="I129" s="153">
        <v>3341</v>
      </c>
      <c r="J129" s="153">
        <v>12597</v>
      </c>
      <c r="K129" s="153">
        <v>9723</v>
      </c>
      <c r="L129" s="153">
        <v>1678</v>
      </c>
      <c r="M129" s="153">
        <v>795</v>
      </c>
      <c r="N129" s="153">
        <v>28112</v>
      </c>
      <c r="O129" s="153">
        <v>423</v>
      </c>
      <c r="P129" s="178"/>
      <c r="Q129" s="153">
        <v>234</v>
      </c>
      <c r="R129" s="153"/>
      <c r="S129" s="153"/>
      <c r="T129" s="153">
        <v>471</v>
      </c>
      <c r="U129" s="153">
        <v>3782</v>
      </c>
      <c r="V129" s="153">
        <v>335</v>
      </c>
      <c r="W129" s="153">
        <v>460</v>
      </c>
      <c r="X129" s="153">
        <v>4221</v>
      </c>
      <c r="Y129" s="153"/>
      <c r="Z129" s="153">
        <v>13474</v>
      </c>
    </row>
    <row r="130" spans="1:27" ht="15.95" customHeight="1">
      <c r="A130" s="162" t="s">
        <v>1667</v>
      </c>
      <c r="B130" s="183">
        <f t="shared" si="31"/>
        <v>3292510</v>
      </c>
      <c r="C130" s="179">
        <f t="shared" ref="C130:R130" si="32">C131+C132</f>
        <v>343990</v>
      </c>
      <c r="D130" s="183">
        <f t="shared" si="32"/>
        <v>0</v>
      </c>
      <c r="E130" s="179">
        <f t="shared" si="32"/>
        <v>113</v>
      </c>
      <c r="F130" s="179">
        <f t="shared" si="32"/>
        <v>280446</v>
      </c>
      <c r="G130" s="179">
        <f t="shared" si="32"/>
        <v>737265</v>
      </c>
      <c r="H130" s="179">
        <f t="shared" si="32"/>
        <v>5387</v>
      </c>
      <c r="I130" s="179">
        <f t="shared" si="32"/>
        <v>24761</v>
      </c>
      <c r="J130" s="179">
        <f t="shared" si="32"/>
        <v>376097</v>
      </c>
      <c r="K130" s="179">
        <f t="shared" si="32"/>
        <v>402033</v>
      </c>
      <c r="L130" s="179">
        <f t="shared" si="32"/>
        <v>49369</v>
      </c>
      <c r="M130" s="179">
        <f t="shared" si="32"/>
        <v>22095</v>
      </c>
      <c r="N130" s="179">
        <f t="shared" si="32"/>
        <v>871924</v>
      </c>
      <c r="O130" s="179">
        <f t="shared" si="32"/>
        <v>7616</v>
      </c>
      <c r="P130" s="179">
        <f t="shared" si="32"/>
        <v>7559</v>
      </c>
      <c r="Q130" s="179">
        <f t="shared" si="32"/>
        <v>1404</v>
      </c>
      <c r="R130" s="179">
        <f t="shared" si="32"/>
        <v>135</v>
      </c>
      <c r="S130" s="183"/>
      <c r="T130" s="179">
        <f t="shared" ref="T130:Z130" si="33">T131+T132</f>
        <v>5529</v>
      </c>
      <c r="U130" s="179">
        <f t="shared" si="33"/>
        <v>47709</v>
      </c>
      <c r="V130" s="179">
        <f t="shared" si="33"/>
        <v>6080</v>
      </c>
      <c r="W130" s="179">
        <f t="shared" si="33"/>
        <v>6974</v>
      </c>
      <c r="X130" s="179">
        <f t="shared" si="33"/>
        <v>74384</v>
      </c>
      <c r="Y130" s="179">
        <f t="shared" si="33"/>
        <v>90</v>
      </c>
      <c r="Z130" s="179">
        <f t="shared" si="33"/>
        <v>21550</v>
      </c>
    </row>
    <row r="131" spans="1:27" ht="15.95" customHeight="1">
      <c r="A131" s="168" t="s">
        <v>1674</v>
      </c>
      <c r="B131" s="183">
        <f t="shared" ref="B131:B140" si="34">SUM(C131:Z131)</f>
        <v>409569</v>
      </c>
      <c r="C131" s="179">
        <v>55567</v>
      </c>
      <c r="D131" s="157">
        <v>0</v>
      </c>
      <c r="E131" s="179">
        <v>45</v>
      </c>
      <c r="F131" s="179">
        <v>61663</v>
      </c>
      <c r="G131" s="179">
        <v>68772</v>
      </c>
      <c r="H131" s="179">
        <v>739</v>
      </c>
      <c r="I131" s="179">
        <v>7825</v>
      </c>
      <c r="J131" s="179">
        <v>48322</v>
      </c>
      <c r="K131" s="179">
        <v>131142</v>
      </c>
      <c r="L131" s="179">
        <v>1038</v>
      </c>
      <c r="M131" s="179">
        <v>880</v>
      </c>
      <c r="N131" s="179">
        <v>10039</v>
      </c>
      <c r="O131" s="179">
        <v>970</v>
      </c>
      <c r="P131" s="179">
        <v>442</v>
      </c>
      <c r="Q131" s="179">
        <v>380</v>
      </c>
      <c r="R131" s="179">
        <v>0</v>
      </c>
      <c r="S131" s="157"/>
      <c r="T131" s="179">
        <v>1272</v>
      </c>
      <c r="U131" s="179">
        <v>7758</v>
      </c>
      <c r="V131" s="179">
        <v>0</v>
      </c>
      <c r="W131" s="179">
        <v>2998</v>
      </c>
      <c r="X131" s="179">
        <v>4717</v>
      </c>
      <c r="Y131" s="179">
        <v>0</v>
      </c>
      <c r="Z131" s="179">
        <v>5000</v>
      </c>
    </row>
    <row r="132" spans="1:27" ht="15.95" customHeight="1">
      <c r="A132" s="168" t="s">
        <v>1194</v>
      </c>
      <c r="B132" s="183">
        <f t="shared" si="34"/>
        <v>2882941</v>
      </c>
      <c r="C132" s="179">
        <f t="shared" ref="C132:R132" si="35">SUM(C133:C140)</f>
        <v>288423</v>
      </c>
      <c r="D132" s="157">
        <f t="shared" si="35"/>
        <v>0</v>
      </c>
      <c r="E132" s="179">
        <f t="shared" si="35"/>
        <v>68</v>
      </c>
      <c r="F132" s="179">
        <f t="shared" si="35"/>
        <v>218783</v>
      </c>
      <c r="G132" s="179">
        <f t="shared" si="35"/>
        <v>668493</v>
      </c>
      <c r="H132" s="179">
        <f t="shared" si="35"/>
        <v>4648</v>
      </c>
      <c r="I132" s="179">
        <f t="shared" si="35"/>
        <v>16936</v>
      </c>
      <c r="J132" s="179">
        <f t="shared" si="35"/>
        <v>327775</v>
      </c>
      <c r="K132" s="179">
        <f t="shared" si="35"/>
        <v>270891</v>
      </c>
      <c r="L132" s="179">
        <f t="shared" si="35"/>
        <v>48331</v>
      </c>
      <c r="M132" s="179">
        <f t="shared" si="35"/>
        <v>21215</v>
      </c>
      <c r="N132" s="179">
        <f t="shared" si="35"/>
        <v>861885</v>
      </c>
      <c r="O132" s="179">
        <f t="shared" si="35"/>
        <v>6646</v>
      </c>
      <c r="P132" s="179">
        <f t="shared" si="35"/>
        <v>7117</v>
      </c>
      <c r="Q132" s="179">
        <f t="shared" si="35"/>
        <v>1024</v>
      </c>
      <c r="R132" s="179">
        <f t="shared" si="35"/>
        <v>135</v>
      </c>
      <c r="S132" s="157"/>
      <c r="T132" s="179">
        <f t="shared" ref="T132:Z132" si="36">SUM(T133:T140)</f>
        <v>4257</v>
      </c>
      <c r="U132" s="179">
        <f t="shared" si="36"/>
        <v>39951</v>
      </c>
      <c r="V132" s="179">
        <f t="shared" si="36"/>
        <v>6080</v>
      </c>
      <c r="W132" s="179">
        <f t="shared" si="36"/>
        <v>3976</v>
      </c>
      <c r="X132" s="179">
        <f t="shared" si="36"/>
        <v>69667</v>
      </c>
      <c r="Y132" s="179">
        <f t="shared" si="36"/>
        <v>90</v>
      </c>
      <c r="Z132" s="179">
        <f t="shared" si="36"/>
        <v>16550</v>
      </c>
    </row>
    <row r="133" spans="1:27" ht="15.95" customHeight="1">
      <c r="A133" s="167" t="s">
        <v>1633</v>
      </c>
      <c r="B133" s="183">
        <f t="shared" si="34"/>
        <v>389992</v>
      </c>
      <c r="C133" s="179">
        <v>47160</v>
      </c>
      <c r="D133" s="157">
        <v>0</v>
      </c>
      <c r="E133" s="179">
        <v>0</v>
      </c>
      <c r="F133" s="179">
        <v>50974</v>
      </c>
      <c r="G133" s="179">
        <v>106576</v>
      </c>
      <c r="H133" s="179">
        <v>159</v>
      </c>
      <c r="I133" s="179">
        <v>2165</v>
      </c>
      <c r="J133" s="179">
        <v>51064</v>
      </c>
      <c r="K133" s="179">
        <v>39892</v>
      </c>
      <c r="L133" s="179">
        <v>7932</v>
      </c>
      <c r="M133" s="179">
        <v>7089</v>
      </c>
      <c r="N133" s="179">
        <v>53099</v>
      </c>
      <c r="O133" s="179">
        <v>416</v>
      </c>
      <c r="P133" s="179">
        <v>0</v>
      </c>
      <c r="Q133" s="179">
        <v>133</v>
      </c>
      <c r="R133" s="179">
        <v>0</v>
      </c>
      <c r="S133" s="157"/>
      <c r="T133" s="179">
        <v>959</v>
      </c>
      <c r="U133" s="179">
        <v>8852</v>
      </c>
      <c r="V133" s="179">
        <v>1301</v>
      </c>
      <c r="W133" s="179">
        <v>568</v>
      </c>
      <c r="X133" s="179">
        <v>8553</v>
      </c>
      <c r="Y133" s="179">
        <v>0</v>
      </c>
      <c r="Z133" s="179">
        <v>3100</v>
      </c>
    </row>
    <row r="134" spans="1:27" ht="15.95" customHeight="1">
      <c r="A134" s="167" t="s">
        <v>1634</v>
      </c>
      <c r="B134" s="183">
        <f t="shared" si="34"/>
        <v>390064</v>
      </c>
      <c r="C134" s="179">
        <v>41348</v>
      </c>
      <c r="D134" s="157">
        <v>0</v>
      </c>
      <c r="E134" s="179">
        <v>68</v>
      </c>
      <c r="F134" s="179">
        <v>20490</v>
      </c>
      <c r="G134" s="179">
        <v>83071</v>
      </c>
      <c r="H134" s="179">
        <v>838</v>
      </c>
      <c r="I134" s="179">
        <v>2684</v>
      </c>
      <c r="J134" s="179">
        <v>61072</v>
      </c>
      <c r="K134" s="179">
        <v>45016</v>
      </c>
      <c r="L134" s="179">
        <v>10194</v>
      </c>
      <c r="M134" s="179">
        <v>2053</v>
      </c>
      <c r="N134" s="179">
        <v>109417</v>
      </c>
      <c r="O134" s="179">
        <v>355</v>
      </c>
      <c r="P134" s="179">
        <v>0</v>
      </c>
      <c r="Q134" s="179">
        <v>7</v>
      </c>
      <c r="R134" s="179">
        <v>0</v>
      </c>
      <c r="S134" s="157"/>
      <c r="T134" s="179">
        <v>519</v>
      </c>
      <c r="U134" s="179">
        <v>2866</v>
      </c>
      <c r="V134" s="179">
        <v>0</v>
      </c>
      <c r="W134" s="179">
        <v>355</v>
      </c>
      <c r="X134" s="179">
        <v>9711</v>
      </c>
      <c r="Y134" s="179">
        <v>0</v>
      </c>
      <c r="Z134" s="179">
        <v>0</v>
      </c>
    </row>
    <row r="135" spans="1:27" ht="15.95" customHeight="1">
      <c r="A135" s="167" t="s">
        <v>1635</v>
      </c>
      <c r="B135" s="183">
        <f t="shared" si="34"/>
        <v>652295</v>
      </c>
      <c r="C135" s="179">
        <v>45033</v>
      </c>
      <c r="D135" s="157">
        <v>0</v>
      </c>
      <c r="E135" s="179">
        <v>0</v>
      </c>
      <c r="F135" s="179">
        <v>32204</v>
      </c>
      <c r="G135" s="179">
        <v>144943</v>
      </c>
      <c r="H135" s="179">
        <v>174</v>
      </c>
      <c r="I135" s="179">
        <v>2460</v>
      </c>
      <c r="J135" s="179">
        <v>66163</v>
      </c>
      <c r="K135" s="179">
        <v>48730</v>
      </c>
      <c r="L135" s="179">
        <v>7443</v>
      </c>
      <c r="M135" s="179">
        <v>3117</v>
      </c>
      <c r="N135" s="179">
        <v>264193</v>
      </c>
      <c r="O135" s="179">
        <v>3329</v>
      </c>
      <c r="P135" s="179">
        <v>3105</v>
      </c>
      <c r="Q135" s="179">
        <v>70</v>
      </c>
      <c r="R135" s="179">
        <v>0</v>
      </c>
      <c r="S135" s="157"/>
      <c r="T135" s="179">
        <v>848</v>
      </c>
      <c r="U135" s="179">
        <v>9858</v>
      </c>
      <c r="V135" s="179">
        <v>85</v>
      </c>
      <c r="W135" s="179">
        <v>318</v>
      </c>
      <c r="X135" s="179">
        <v>14222</v>
      </c>
      <c r="Y135" s="179">
        <v>0</v>
      </c>
      <c r="Z135" s="179">
        <v>6000</v>
      </c>
    </row>
    <row r="136" spans="1:27" ht="15.95" customHeight="1">
      <c r="A136" s="167" t="s">
        <v>1636</v>
      </c>
      <c r="B136" s="183">
        <f t="shared" si="34"/>
        <v>380866</v>
      </c>
      <c r="C136" s="179">
        <v>23034</v>
      </c>
      <c r="D136" s="157">
        <v>0</v>
      </c>
      <c r="E136" s="179">
        <v>0</v>
      </c>
      <c r="F136" s="179">
        <v>43485</v>
      </c>
      <c r="G136" s="179">
        <v>78695</v>
      </c>
      <c r="H136" s="179">
        <v>297</v>
      </c>
      <c r="I136" s="179">
        <v>843</v>
      </c>
      <c r="J136" s="179">
        <v>45328</v>
      </c>
      <c r="K136" s="179">
        <v>32128</v>
      </c>
      <c r="L136" s="179">
        <v>9204</v>
      </c>
      <c r="M136" s="179">
        <v>1000</v>
      </c>
      <c r="N136" s="179">
        <v>125168</v>
      </c>
      <c r="O136" s="179">
        <v>220</v>
      </c>
      <c r="P136" s="179">
        <v>0</v>
      </c>
      <c r="Q136" s="179">
        <v>6</v>
      </c>
      <c r="R136" s="179">
        <v>0</v>
      </c>
      <c r="S136" s="157"/>
      <c r="T136" s="179">
        <v>200</v>
      </c>
      <c r="U136" s="179">
        <v>4812</v>
      </c>
      <c r="V136" s="179">
        <v>1252</v>
      </c>
      <c r="W136" s="179">
        <v>1120</v>
      </c>
      <c r="X136" s="179">
        <v>9484</v>
      </c>
      <c r="Y136" s="179">
        <v>80</v>
      </c>
      <c r="Z136" s="179">
        <v>4510</v>
      </c>
    </row>
    <row r="137" spans="1:27" ht="15.95" customHeight="1">
      <c r="A137" s="167" t="s">
        <v>1637</v>
      </c>
      <c r="B137" s="183">
        <f t="shared" si="34"/>
        <v>355772</v>
      </c>
      <c r="C137" s="179">
        <v>32560</v>
      </c>
      <c r="D137" s="157">
        <v>0</v>
      </c>
      <c r="E137" s="179">
        <v>0</v>
      </c>
      <c r="F137" s="179">
        <v>23973</v>
      </c>
      <c r="G137" s="179">
        <v>108326</v>
      </c>
      <c r="H137" s="179">
        <v>562</v>
      </c>
      <c r="I137" s="179">
        <v>1972</v>
      </c>
      <c r="J137" s="179">
        <v>30920</v>
      </c>
      <c r="K137" s="179">
        <v>35824</v>
      </c>
      <c r="L137" s="179">
        <v>3846</v>
      </c>
      <c r="M137" s="179">
        <v>2620</v>
      </c>
      <c r="N137" s="179">
        <v>98780</v>
      </c>
      <c r="O137" s="179">
        <v>650</v>
      </c>
      <c r="P137" s="179">
        <v>700</v>
      </c>
      <c r="Q137" s="179">
        <v>526</v>
      </c>
      <c r="R137" s="179">
        <v>0</v>
      </c>
      <c r="S137" s="157"/>
      <c r="T137" s="179">
        <v>361</v>
      </c>
      <c r="U137" s="179">
        <v>2926</v>
      </c>
      <c r="V137" s="179">
        <v>1130</v>
      </c>
      <c r="W137" s="179">
        <v>695</v>
      </c>
      <c r="X137" s="179">
        <v>9401</v>
      </c>
      <c r="Y137" s="179">
        <v>0</v>
      </c>
      <c r="Z137" s="179">
        <v>0</v>
      </c>
    </row>
    <row r="138" spans="1:27" ht="15.95" customHeight="1">
      <c r="A138" s="167" t="s">
        <v>1638</v>
      </c>
      <c r="B138" s="183">
        <f t="shared" si="34"/>
        <v>256174</v>
      </c>
      <c r="C138" s="179">
        <v>36446</v>
      </c>
      <c r="D138" s="157">
        <v>0</v>
      </c>
      <c r="E138" s="179">
        <v>0</v>
      </c>
      <c r="F138" s="179">
        <v>12666</v>
      </c>
      <c r="G138" s="179">
        <v>43628</v>
      </c>
      <c r="H138" s="179">
        <v>728</v>
      </c>
      <c r="I138" s="179">
        <v>2653</v>
      </c>
      <c r="J138" s="179">
        <v>23312</v>
      </c>
      <c r="K138" s="179">
        <v>26583</v>
      </c>
      <c r="L138" s="179">
        <v>5749</v>
      </c>
      <c r="M138" s="179">
        <v>1355</v>
      </c>
      <c r="N138" s="179">
        <v>80115</v>
      </c>
      <c r="O138" s="179">
        <v>1386</v>
      </c>
      <c r="P138" s="179">
        <v>3247</v>
      </c>
      <c r="Q138" s="179">
        <v>14</v>
      </c>
      <c r="R138" s="179">
        <v>135</v>
      </c>
      <c r="S138" s="157"/>
      <c r="T138" s="179">
        <v>430</v>
      </c>
      <c r="U138" s="179">
        <v>7355</v>
      </c>
      <c r="V138" s="179">
        <v>997</v>
      </c>
      <c r="W138" s="179">
        <v>300</v>
      </c>
      <c r="X138" s="179">
        <v>7134</v>
      </c>
      <c r="Y138" s="179">
        <v>0</v>
      </c>
      <c r="Z138" s="179">
        <v>1941</v>
      </c>
    </row>
    <row r="139" spans="1:27" ht="15.95" customHeight="1">
      <c r="A139" s="167" t="s">
        <v>1639</v>
      </c>
      <c r="B139" s="183">
        <f t="shared" si="34"/>
        <v>348807</v>
      </c>
      <c r="C139" s="179">
        <v>39490</v>
      </c>
      <c r="D139" s="157">
        <v>0</v>
      </c>
      <c r="E139" s="179">
        <v>0</v>
      </c>
      <c r="F139" s="179">
        <v>22605</v>
      </c>
      <c r="G139" s="179">
        <v>78308</v>
      </c>
      <c r="H139" s="179">
        <v>1881</v>
      </c>
      <c r="I139" s="179">
        <v>2603</v>
      </c>
      <c r="J139" s="179">
        <v>40654</v>
      </c>
      <c r="K139" s="179">
        <v>35118</v>
      </c>
      <c r="L139" s="179">
        <v>3463</v>
      </c>
      <c r="M139" s="179">
        <v>1705</v>
      </c>
      <c r="N139" s="179">
        <v>107639</v>
      </c>
      <c r="O139" s="179">
        <v>170</v>
      </c>
      <c r="P139" s="179">
        <v>0</v>
      </c>
      <c r="Q139" s="179">
        <v>173</v>
      </c>
      <c r="R139" s="179">
        <v>0</v>
      </c>
      <c r="S139" s="157"/>
      <c r="T139" s="179">
        <v>440</v>
      </c>
      <c r="U139" s="179">
        <v>3282</v>
      </c>
      <c r="V139" s="179">
        <v>1315</v>
      </c>
      <c r="W139" s="179">
        <v>420</v>
      </c>
      <c r="X139" s="179">
        <v>9541</v>
      </c>
      <c r="Y139" s="179">
        <v>0</v>
      </c>
      <c r="Z139" s="179">
        <v>0</v>
      </c>
    </row>
    <row r="140" spans="1:27" ht="15.95" customHeight="1">
      <c r="A140" s="167" t="s">
        <v>1640</v>
      </c>
      <c r="B140" s="183">
        <f t="shared" si="34"/>
        <v>108971</v>
      </c>
      <c r="C140" s="179">
        <v>23352</v>
      </c>
      <c r="D140" s="157">
        <v>0</v>
      </c>
      <c r="E140" s="179">
        <v>0</v>
      </c>
      <c r="F140" s="179">
        <v>12386</v>
      </c>
      <c r="G140" s="179">
        <v>24946</v>
      </c>
      <c r="H140" s="179">
        <v>9</v>
      </c>
      <c r="I140" s="179">
        <v>1556</v>
      </c>
      <c r="J140" s="179">
        <v>9262</v>
      </c>
      <c r="K140" s="179">
        <v>7600</v>
      </c>
      <c r="L140" s="179">
        <v>500</v>
      </c>
      <c r="M140" s="179">
        <v>2276</v>
      </c>
      <c r="N140" s="179">
        <v>23474</v>
      </c>
      <c r="O140" s="179">
        <v>120</v>
      </c>
      <c r="P140" s="179">
        <v>65</v>
      </c>
      <c r="Q140" s="179">
        <v>95</v>
      </c>
      <c r="R140" s="179">
        <v>0</v>
      </c>
      <c r="S140" s="157"/>
      <c r="T140" s="179">
        <v>500</v>
      </c>
      <c r="U140" s="179">
        <v>0</v>
      </c>
      <c r="V140" s="179">
        <v>0</v>
      </c>
      <c r="W140" s="179">
        <v>200</v>
      </c>
      <c r="X140" s="179">
        <v>1621</v>
      </c>
      <c r="Y140" s="179">
        <v>10</v>
      </c>
      <c r="Z140" s="179">
        <v>999</v>
      </c>
    </row>
    <row r="141" spans="1:27" s="151" customFormat="1" ht="12">
      <c r="A141" s="161" t="s">
        <v>1675</v>
      </c>
      <c r="B141" s="153">
        <f>SUM(B142:B143)</f>
        <v>879967</v>
      </c>
      <c r="C141" s="153">
        <f t="shared" ref="C141:Z141" si="37">SUM(C142:C143)</f>
        <v>121534</v>
      </c>
      <c r="D141" s="153">
        <f t="shared" si="37"/>
        <v>0</v>
      </c>
      <c r="E141" s="153">
        <f t="shared" si="37"/>
        <v>542</v>
      </c>
      <c r="F141" s="153">
        <f t="shared" si="37"/>
        <v>101995</v>
      </c>
      <c r="G141" s="153">
        <f t="shared" si="37"/>
        <v>189157</v>
      </c>
      <c r="H141" s="153">
        <f t="shared" si="37"/>
        <v>4063</v>
      </c>
      <c r="I141" s="153">
        <f t="shared" si="37"/>
        <v>17604</v>
      </c>
      <c r="J141" s="153">
        <f t="shared" si="37"/>
        <v>94513</v>
      </c>
      <c r="K141" s="153">
        <f t="shared" si="37"/>
        <v>94163</v>
      </c>
      <c r="L141" s="153">
        <f t="shared" si="37"/>
        <v>17151</v>
      </c>
      <c r="M141" s="153">
        <f t="shared" si="37"/>
        <v>29716</v>
      </c>
      <c r="N141" s="153">
        <f t="shared" si="37"/>
        <v>42000</v>
      </c>
      <c r="O141" s="153">
        <f t="shared" si="37"/>
        <v>14368</v>
      </c>
      <c r="P141" s="153">
        <f t="shared" si="37"/>
        <v>54836</v>
      </c>
      <c r="Q141" s="153">
        <f t="shared" si="37"/>
        <v>865</v>
      </c>
      <c r="R141" s="153">
        <f t="shared" si="37"/>
        <v>33</v>
      </c>
      <c r="S141" s="153">
        <f t="shared" si="37"/>
        <v>0</v>
      </c>
      <c r="T141" s="153">
        <f t="shared" si="37"/>
        <v>7609</v>
      </c>
      <c r="U141" s="153">
        <f t="shared" si="37"/>
        <v>44965</v>
      </c>
      <c r="V141" s="153">
        <f t="shared" si="37"/>
        <v>85</v>
      </c>
      <c r="W141" s="153">
        <f t="shared" si="37"/>
        <v>5452</v>
      </c>
      <c r="X141" s="153">
        <f t="shared" si="37"/>
        <v>23372</v>
      </c>
      <c r="Y141" s="153">
        <f t="shared" si="37"/>
        <v>70</v>
      </c>
      <c r="Z141" s="153">
        <f t="shared" si="37"/>
        <v>15874</v>
      </c>
      <c r="AA141" s="134"/>
    </row>
    <row r="142" spans="1:27" s="134" customFormat="1" ht="12">
      <c r="A142" s="167" t="s">
        <v>1193</v>
      </c>
      <c r="B142" s="184">
        <f>SUM(C142:Z142)</f>
        <v>191807</v>
      </c>
      <c r="C142" s="184">
        <v>33152</v>
      </c>
      <c r="D142" s="184"/>
      <c r="E142" s="184">
        <v>480</v>
      </c>
      <c r="F142" s="184">
        <v>31540</v>
      </c>
      <c r="G142" s="184">
        <v>21982</v>
      </c>
      <c r="H142" s="184">
        <v>773</v>
      </c>
      <c r="I142" s="184">
        <v>12911</v>
      </c>
      <c r="J142" s="184">
        <v>19067</v>
      </c>
      <c r="K142" s="184">
        <v>17082</v>
      </c>
      <c r="L142" s="184">
        <v>14024</v>
      </c>
      <c r="M142" s="184">
        <v>1911</v>
      </c>
      <c r="N142" s="184">
        <v>10284</v>
      </c>
      <c r="O142" s="184">
        <v>10732</v>
      </c>
      <c r="P142" s="193">
        <v>1107</v>
      </c>
      <c r="Q142" s="184">
        <v>159</v>
      </c>
      <c r="R142" s="184"/>
      <c r="S142" s="184"/>
      <c r="T142" s="184">
        <v>5137</v>
      </c>
      <c r="U142" s="184">
        <v>3834</v>
      </c>
      <c r="V142" s="184">
        <v>50</v>
      </c>
      <c r="W142" s="184">
        <v>3493</v>
      </c>
      <c r="X142" s="184">
        <v>1769</v>
      </c>
      <c r="Y142" s="184">
        <v>20</v>
      </c>
      <c r="Z142" s="184">
        <v>2300</v>
      </c>
    </row>
    <row r="143" spans="1:27" s="134" customFormat="1" ht="12">
      <c r="A143" s="167" t="s">
        <v>1194</v>
      </c>
      <c r="B143" s="153">
        <f t="shared" ref="B143:Z143" si="38">SUM(B144:B146)</f>
        <v>688160</v>
      </c>
      <c r="C143" s="153">
        <f t="shared" si="38"/>
        <v>88382</v>
      </c>
      <c r="D143" s="153">
        <f t="shared" si="38"/>
        <v>0</v>
      </c>
      <c r="E143" s="153">
        <f t="shared" si="38"/>
        <v>62</v>
      </c>
      <c r="F143" s="153">
        <f t="shared" si="38"/>
        <v>70455</v>
      </c>
      <c r="G143" s="153">
        <f t="shared" si="38"/>
        <v>167175</v>
      </c>
      <c r="H143" s="153">
        <f t="shared" si="38"/>
        <v>3290</v>
      </c>
      <c r="I143" s="153">
        <f t="shared" si="38"/>
        <v>4693</v>
      </c>
      <c r="J143" s="153">
        <f t="shared" si="38"/>
        <v>75446</v>
      </c>
      <c r="K143" s="153">
        <f t="shared" si="38"/>
        <v>77081</v>
      </c>
      <c r="L143" s="153">
        <f t="shared" si="38"/>
        <v>3127</v>
      </c>
      <c r="M143" s="153">
        <f t="shared" si="38"/>
        <v>27805</v>
      </c>
      <c r="N143" s="153">
        <f t="shared" si="38"/>
        <v>31716</v>
      </c>
      <c r="O143" s="153">
        <f t="shared" si="38"/>
        <v>3636</v>
      </c>
      <c r="P143" s="153">
        <f t="shared" si="38"/>
        <v>53729</v>
      </c>
      <c r="Q143" s="153">
        <f t="shared" si="38"/>
        <v>706</v>
      </c>
      <c r="R143" s="153">
        <f t="shared" si="38"/>
        <v>33</v>
      </c>
      <c r="S143" s="153">
        <f t="shared" si="38"/>
        <v>0</v>
      </c>
      <c r="T143" s="153">
        <f t="shared" si="38"/>
        <v>2472</v>
      </c>
      <c r="U143" s="153">
        <f t="shared" si="38"/>
        <v>41131</v>
      </c>
      <c r="V143" s="153">
        <f t="shared" si="38"/>
        <v>35</v>
      </c>
      <c r="W143" s="153">
        <f t="shared" si="38"/>
        <v>1959</v>
      </c>
      <c r="X143" s="153">
        <f t="shared" si="38"/>
        <v>21603</v>
      </c>
      <c r="Y143" s="153">
        <f t="shared" si="38"/>
        <v>50</v>
      </c>
      <c r="Z143" s="153">
        <f t="shared" si="38"/>
        <v>13574</v>
      </c>
    </row>
    <row r="144" spans="1:27" s="134" customFormat="1" ht="12">
      <c r="A144" s="167" t="s">
        <v>1641</v>
      </c>
      <c r="B144" s="153">
        <f>SUM(C144:Z144)</f>
        <v>230603</v>
      </c>
      <c r="C144" s="153">
        <v>22367</v>
      </c>
      <c r="D144" s="153"/>
      <c r="E144" s="153">
        <v>62</v>
      </c>
      <c r="F144" s="153">
        <v>14242</v>
      </c>
      <c r="G144" s="153">
        <v>49503</v>
      </c>
      <c r="H144" s="153">
        <v>2424</v>
      </c>
      <c r="I144" s="153">
        <v>1038</v>
      </c>
      <c r="J144" s="153">
        <v>30681</v>
      </c>
      <c r="K144" s="153">
        <v>25877</v>
      </c>
      <c r="L144" s="153">
        <v>1854</v>
      </c>
      <c r="M144" s="153">
        <v>7457</v>
      </c>
      <c r="N144" s="153">
        <v>11089</v>
      </c>
      <c r="O144" s="153">
        <v>210</v>
      </c>
      <c r="P144" s="180">
        <v>28167</v>
      </c>
      <c r="Q144" s="153">
        <v>507</v>
      </c>
      <c r="R144" s="153">
        <v>33</v>
      </c>
      <c r="S144" s="153"/>
      <c r="T144" s="153">
        <v>579</v>
      </c>
      <c r="U144" s="153">
        <v>24204</v>
      </c>
      <c r="V144" s="153">
        <v>35</v>
      </c>
      <c r="W144" s="153">
        <v>516</v>
      </c>
      <c r="X144" s="153">
        <v>6744</v>
      </c>
      <c r="Y144" s="153">
        <v>20</v>
      </c>
      <c r="Z144" s="153">
        <v>2994</v>
      </c>
    </row>
    <row r="145" spans="1:26" s="134" customFormat="1" ht="12">
      <c r="A145" s="167" t="s">
        <v>1642</v>
      </c>
      <c r="B145" s="153">
        <f>SUM(C145:Z145)</f>
        <v>229394</v>
      </c>
      <c r="C145" s="153">
        <v>32063</v>
      </c>
      <c r="D145" s="153"/>
      <c r="E145" s="153"/>
      <c r="F145" s="153">
        <v>27459</v>
      </c>
      <c r="G145" s="153">
        <v>63184</v>
      </c>
      <c r="H145" s="153">
        <v>731</v>
      </c>
      <c r="I145" s="153">
        <v>2089</v>
      </c>
      <c r="J145" s="153">
        <v>29887</v>
      </c>
      <c r="K145" s="153">
        <v>31462</v>
      </c>
      <c r="L145" s="153">
        <v>732</v>
      </c>
      <c r="M145" s="153">
        <v>3302</v>
      </c>
      <c r="N145" s="153">
        <v>10243</v>
      </c>
      <c r="O145" s="153">
        <v>1578</v>
      </c>
      <c r="P145" s="180">
        <v>512</v>
      </c>
      <c r="Q145" s="153">
        <v>106</v>
      </c>
      <c r="R145" s="153"/>
      <c r="S145" s="153"/>
      <c r="T145" s="153">
        <v>939</v>
      </c>
      <c r="U145" s="153">
        <v>12415</v>
      </c>
      <c r="V145" s="153"/>
      <c r="W145" s="153">
        <v>877</v>
      </c>
      <c r="X145" s="153">
        <v>9815</v>
      </c>
      <c r="Y145" s="153"/>
      <c r="Z145" s="153">
        <v>2000</v>
      </c>
    </row>
    <row r="146" spans="1:26" s="134" customFormat="1" ht="12">
      <c r="A146" s="167" t="s">
        <v>1643</v>
      </c>
      <c r="B146" s="153">
        <f>SUM(C146:Z146)</f>
        <v>228163</v>
      </c>
      <c r="C146" s="153">
        <v>33952</v>
      </c>
      <c r="D146" s="153">
        <v>0</v>
      </c>
      <c r="E146" s="153">
        <v>0</v>
      </c>
      <c r="F146" s="153">
        <v>28754</v>
      </c>
      <c r="G146" s="153">
        <v>54488</v>
      </c>
      <c r="H146" s="153">
        <v>135</v>
      </c>
      <c r="I146" s="153">
        <v>1566</v>
      </c>
      <c r="J146" s="153">
        <v>14878</v>
      </c>
      <c r="K146" s="153">
        <v>19742</v>
      </c>
      <c r="L146" s="153">
        <v>541</v>
      </c>
      <c r="M146" s="153">
        <v>17046</v>
      </c>
      <c r="N146" s="153">
        <v>10384</v>
      </c>
      <c r="O146" s="153">
        <v>1848</v>
      </c>
      <c r="P146" s="180">
        <v>25050</v>
      </c>
      <c r="Q146" s="153">
        <v>93</v>
      </c>
      <c r="R146" s="153">
        <v>0</v>
      </c>
      <c r="S146" s="153">
        <v>0</v>
      </c>
      <c r="T146" s="153">
        <v>954</v>
      </c>
      <c r="U146" s="153">
        <v>4512</v>
      </c>
      <c r="V146" s="153">
        <v>0</v>
      </c>
      <c r="W146" s="153">
        <v>566</v>
      </c>
      <c r="X146" s="153">
        <v>5044</v>
      </c>
      <c r="Y146" s="153">
        <v>30</v>
      </c>
      <c r="Z146" s="153">
        <v>8580</v>
      </c>
    </row>
    <row r="147" spans="1:26">
      <c r="A147" s="164" t="s">
        <v>1647</v>
      </c>
      <c r="B147" s="183">
        <f>B148+B149</f>
        <v>1143016</v>
      </c>
      <c r="C147" s="183">
        <f>C148+C149</f>
        <v>161983</v>
      </c>
      <c r="D147" s="183">
        <f t="shared" ref="D147:Z147" si="39">D148+D149</f>
        <v>0</v>
      </c>
      <c r="E147" s="183">
        <f t="shared" si="39"/>
        <v>933</v>
      </c>
      <c r="F147" s="183">
        <f t="shared" si="39"/>
        <v>136278</v>
      </c>
      <c r="G147" s="183">
        <f t="shared" si="39"/>
        <v>190800</v>
      </c>
      <c r="H147" s="183">
        <f t="shared" si="39"/>
        <v>4531</v>
      </c>
      <c r="I147" s="183">
        <f t="shared" si="39"/>
        <v>21878</v>
      </c>
      <c r="J147" s="183">
        <f t="shared" si="39"/>
        <v>140060</v>
      </c>
      <c r="K147" s="183">
        <f t="shared" si="39"/>
        <v>81039</v>
      </c>
      <c r="L147" s="183">
        <f t="shared" si="39"/>
        <v>17070</v>
      </c>
      <c r="M147" s="183">
        <f t="shared" si="39"/>
        <v>36727</v>
      </c>
      <c r="N147" s="183">
        <f t="shared" si="39"/>
        <v>97288</v>
      </c>
      <c r="O147" s="183">
        <f t="shared" si="39"/>
        <v>152861</v>
      </c>
      <c r="P147" s="183">
        <f t="shared" si="39"/>
        <v>4654</v>
      </c>
      <c r="Q147" s="183">
        <f t="shared" si="39"/>
        <v>1201</v>
      </c>
      <c r="R147" s="183">
        <f t="shared" si="39"/>
        <v>96</v>
      </c>
      <c r="S147" s="183">
        <f t="shared" si="39"/>
        <v>0</v>
      </c>
      <c r="T147" s="183">
        <f t="shared" si="39"/>
        <v>6877</v>
      </c>
      <c r="U147" s="183">
        <f t="shared" si="39"/>
        <v>23788</v>
      </c>
      <c r="V147" s="183">
        <f t="shared" si="39"/>
        <v>1095</v>
      </c>
      <c r="W147" s="183">
        <f t="shared" si="39"/>
        <v>3580</v>
      </c>
      <c r="X147" s="183">
        <f t="shared" si="39"/>
        <v>46143</v>
      </c>
      <c r="Y147" s="183">
        <f t="shared" si="39"/>
        <v>0</v>
      </c>
      <c r="Z147" s="183">
        <f t="shared" si="39"/>
        <v>14134</v>
      </c>
    </row>
    <row r="148" spans="1:26">
      <c r="A148" s="167" t="s">
        <v>1193</v>
      </c>
      <c r="B148" s="194">
        <f>SUM(C148:Z148)</f>
        <v>374645</v>
      </c>
      <c r="C148" s="194">
        <v>34844</v>
      </c>
      <c r="D148" s="194"/>
      <c r="E148" s="194">
        <v>498</v>
      </c>
      <c r="F148" s="194">
        <v>22257</v>
      </c>
      <c r="G148" s="194">
        <v>42732</v>
      </c>
      <c r="H148" s="194">
        <v>1592</v>
      </c>
      <c r="I148" s="194">
        <v>12520</v>
      </c>
      <c r="J148" s="194">
        <v>43136</v>
      </c>
      <c r="K148" s="194">
        <v>28144</v>
      </c>
      <c r="L148" s="194">
        <v>6032</v>
      </c>
      <c r="M148" s="194">
        <v>3455</v>
      </c>
      <c r="N148" s="194">
        <v>13061</v>
      </c>
      <c r="O148" s="194">
        <v>144648</v>
      </c>
      <c r="P148" s="194">
        <v>1410</v>
      </c>
      <c r="Q148" s="194">
        <v>360</v>
      </c>
      <c r="R148" s="194">
        <v>70</v>
      </c>
      <c r="S148" s="194"/>
      <c r="T148" s="194">
        <v>4875</v>
      </c>
      <c r="U148" s="194">
        <v>5143</v>
      </c>
      <c r="V148" s="194">
        <v>117</v>
      </c>
      <c r="W148" s="194">
        <v>1933</v>
      </c>
      <c r="X148" s="194">
        <v>5624</v>
      </c>
      <c r="Y148" s="194"/>
      <c r="Z148" s="194">
        <v>2194</v>
      </c>
    </row>
    <row r="149" spans="1:26">
      <c r="A149" s="167" t="s">
        <v>1194</v>
      </c>
      <c r="B149" s="194">
        <f>SUM(B150:B152)</f>
        <v>768371</v>
      </c>
      <c r="C149" s="194">
        <f t="shared" ref="C149:Z149" si="40">SUM(C150:C152)</f>
        <v>127139</v>
      </c>
      <c r="D149" s="194">
        <f t="shared" si="40"/>
        <v>0</v>
      </c>
      <c r="E149" s="194">
        <f t="shared" si="40"/>
        <v>435</v>
      </c>
      <c r="F149" s="194">
        <f t="shared" si="40"/>
        <v>114021</v>
      </c>
      <c r="G149" s="194">
        <f t="shared" si="40"/>
        <v>148068</v>
      </c>
      <c r="H149" s="194">
        <f t="shared" si="40"/>
        <v>2939</v>
      </c>
      <c r="I149" s="194">
        <f t="shared" si="40"/>
        <v>9358</v>
      </c>
      <c r="J149" s="194">
        <f t="shared" si="40"/>
        <v>96924</v>
      </c>
      <c r="K149" s="194">
        <f t="shared" si="40"/>
        <v>52895</v>
      </c>
      <c r="L149" s="194">
        <f t="shared" si="40"/>
        <v>11038</v>
      </c>
      <c r="M149" s="194">
        <f t="shared" si="40"/>
        <v>33272</v>
      </c>
      <c r="N149" s="194">
        <f t="shared" si="40"/>
        <v>84227</v>
      </c>
      <c r="O149" s="194">
        <f t="shared" si="40"/>
        <v>8213</v>
      </c>
      <c r="P149" s="194">
        <f t="shared" si="40"/>
        <v>3244</v>
      </c>
      <c r="Q149" s="194">
        <f t="shared" si="40"/>
        <v>841</v>
      </c>
      <c r="R149" s="194">
        <f t="shared" si="40"/>
        <v>26</v>
      </c>
      <c r="S149" s="194">
        <f t="shared" si="40"/>
        <v>0</v>
      </c>
      <c r="T149" s="194">
        <f t="shared" si="40"/>
        <v>2002</v>
      </c>
      <c r="U149" s="194">
        <f t="shared" si="40"/>
        <v>18645</v>
      </c>
      <c r="V149" s="194">
        <f t="shared" si="40"/>
        <v>978</v>
      </c>
      <c r="W149" s="194">
        <f t="shared" si="40"/>
        <v>1647</v>
      </c>
      <c r="X149" s="194">
        <f t="shared" si="40"/>
        <v>40519</v>
      </c>
      <c r="Y149" s="194">
        <f t="shared" si="40"/>
        <v>0</v>
      </c>
      <c r="Z149" s="194">
        <f t="shared" si="40"/>
        <v>11940</v>
      </c>
    </row>
    <row r="150" spans="1:26">
      <c r="A150" s="167" t="s">
        <v>1648</v>
      </c>
      <c r="B150" s="183">
        <f>SUM(C150:Z150)</f>
        <v>428327</v>
      </c>
      <c r="C150" s="153">
        <v>60362</v>
      </c>
      <c r="D150" s="153"/>
      <c r="E150" s="153">
        <v>267</v>
      </c>
      <c r="F150" s="153">
        <v>79998</v>
      </c>
      <c r="G150" s="153">
        <v>87023</v>
      </c>
      <c r="H150" s="153">
        <v>972</v>
      </c>
      <c r="I150" s="153">
        <v>3541</v>
      </c>
      <c r="J150" s="153">
        <v>50238</v>
      </c>
      <c r="K150" s="153">
        <v>27606</v>
      </c>
      <c r="L150" s="153">
        <v>6020</v>
      </c>
      <c r="M150" s="153">
        <v>21633</v>
      </c>
      <c r="N150" s="153">
        <v>38032</v>
      </c>
      <c r="O150" s="153">
        <v>3919</v>
      </c>
      <c r="P150" s="153">
        <v>3244</v>
      </c>
      <c r="Q150" s="153">
        <v>501</v>
      </c>
      <c r="R150" s="153">
        <v>16</v>
      </c>
      <c r="S150" s="153"/>
      <c r="T150" s="153">
        <v>581</v>
      </c>
      <c r="U150" s="153">
        <v>9223</v>
      </c>
      <c r="V150" s="153">
        <v>861</v>
      </c>
      <c r="W150" s="153">
        <v>911</v>
      </c>
      <c r="X150" s="153">
        <v>25302</v>
      </c>
      <c r="Y150" s="153"/>
      <c r="Z150" s="153">
        <v>8077</v>
      </c>
    </row>
    <row r="151" spans="1:26">
      <c r="A151" s="167" t="s">
        <v>1644</v>
      </c>
      <c r="B151" s="194">
        <f>SUM(C151:Z151)</f>
        <v>239053</v>
      </c>
      <c r="C151" s="194">
        <v>49454</v>
      </c>
      <c r="D151" s="194"/>
      <c r="E151" s="194">
        <v>20</v>
      </c>
      <c r="F151" s="194">
        <v>21000</v>
      </c>
      <c r="G151" s="194">
        <v>47536</v>
      </c>
      <c r="H151" s="194">
        <v>900</v>
      </c>
      <c r="I151" s="194">
        <v>2100</v>
      </c>
      <c r="J151" s="194">
        <v>34119</v>
      </c>
      <c r="K151" s="194">
        <v>18200</v>
      </c>
      <c r="L151" s="194">
        <v>4000</v>
      </c>
      <c r="M151" s="194">
        <v>7115</v>
      </c>
      <c r="N151" s="194">
        <v>31399</v>
      </c>
      <c r="O151" s="194">
        <v>3500</v>
      </c>
      <c r="P151" s="194"/>
      <c r="Q151" s="194">
        <v>340</v>
      </c>
      <c r="R151" s="194">
        <v>10</v>
      </c>
      <c r="S151" s="194"/>
      <c r="T151" s="194">
        <v>625</v>
      </c>
      <c r="U151" s="194">
        <v>5500</v>
      </c>
      <c r="V151" s="194">
        <v>107</v>
      </c>
      <c r="W151" s="194">
        <v>420</v>
      </c>
      <c r="X151" s="194">
        <v>10378</v>
      </c>
      <c r="Y151" s="194"/>
      <c r="Z151" s="194">
        <v>2330</v>
      </c>
    </row>
    <row r="152" spans="1:26" s="132" customFormat="1" ht="12">
      <c r="A152" s="167" t="s">
        <v>1649</v>
      </c>
      <c r="B152" s="194">
        <f>SUM(C152:Z152)</f>
        <v>100991</v>
      </c>
      <c r="C152" s="184">
        <v>17323</v>
      </c>
      <c r="D152" s="184"/>
      <c r="E152" s="184">
        <v>148</v>
      </c>
      <c r="F152" s="184">
        <v>13023</v>
      </c>
      <c r="G152" s="184">
        <v>13509</v>
      </c>
      <c r="H152" s="184">
        <v>1067</v>
      </c>
      <c r="I152" s="184">
        <v>3717</v>
      </c>
      <c r="J152" s="184">
        <v>12567</v>
      </c>
      <c r="K152" s="184">
        <v>7089</v>
      </c>
      <c r="L152" s="184">
        <v>1018</v>
      </c>
      <c r="M152" s="184">
        <v>4524</v>
      </c>
      <c r="N152" s="184">
        <v>14796</v>
      </c>
      <c r="O152" s="184">
        <v>794</v>
      </c>
      <c r="P152" s="184"/>
      <c r="Q152" s="184"/>
      <c r="R152" s="184"/>
      <c r="S152" s="184"/>
      <c r="T152" s="184">
        <v>796</v>
      </c>
      <c r="U152" s="184">
        <v>3922</v>
      </c>
      <c r="V152" s="184">
        <v>10</v>
      </c>
      <c r="W152" s="184">
        <v>316</v>
      </c>
      <c r="X152" s="184">
        <v>4839</v>
      </c>
      <c r="Y152" s="184"/>
      <c r="Z152" s="184">
        <v>1533</v>
      </c>
    </row>
  </sheetData>
  <mergeCells count="2">
    <mergeCell ref="A2:AA2"/>
    <mergeCell ref="A4:A5"/>
  </mergeCells>
  <phoneticPr fontId="14" type="noConversion"/>
  <printOptions horizontalCentered="1"/>
  <pageMargins left="0.47244094488188998" right="0.47244094488188998" top="0.59055118110236204" bottom="0.47244094488188998" header="0.31496062992126" footer="0.31496062992126"/>
  <pageSetup paperSize="9" scale="8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13</vt:i4>
      </vt:variant>
    </vt:vector>
  </HeadingPairs>
  <TitlesOfParts>
    <vt:vector size="28" baseType="lpstr">
      <vt:lpstr>封面</vt:lpstr>
      <vt:lpstr>目录</vt:lpstr>
      <vt:lpstr>表一</vt:lpstr>
      <vt:lpstr>表二</vt:lpstr>
      <vt:lpstr>表三</vt:lpstr>
      <vt:lpstr>表四</vt:lpstr>
      <vt:lpstr>表五</vt:lpstr>
      <vt:lpstr>表六 (1)</vt:lpstr>
      <vt:lpstr>表六（2)</vt:lpstr>
      <vt:lpstr>表七 (1)</vt:lpstr>
      <vt:lpstr>表七(2)</vt:lpstr>
      <vt:lpstr>表八</vt:lpstr>
      <vt:lpstr>表九</vt:lpstr>
      <vt:lpstr>表十</vt:lpstr>
      <vt:lpstr>表十一</vt:lpstr>
      <vt:lpstr>表三!Print_Area</vt:lpstr>
      <vt:lpstr>表八!Print_Titles</vt:lpstr>
      <vt:lpstr>表九!Print_Titles</vt:lpstr>
      <vt:lpstr>'表六 (1)'!Print_Titles</vt:lpstr>
      <vt:lpstr>'表六（2)'!Print_Titles</vt:lpstr>
      <vt:lpstr>'表七 (1)'!Print_Titles</vt:lpstr>
      <vt:lpstr>'表七(2)'!Print_Titles</vt:lpstr>
      <vt:lpstr>表三!Print_Titles</vt:lpstr>
      <vt:lpstr>表十一!Print_Titles</vt:lpstr>
      <vt:lpstr>表四!Print_Titles</vt:lpstr>
      <vt:lpstr>表五!Print_Titles</vt:lpstr>
      <vt:lpstr>表一!Print_Titles</vt:lpstr>
      <vt:lpstr>地区名称</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蔡兵</cp:lastModifiedBy>
  <cp:revision>1</cp:revision>
  <cp:lastPrinted>2021-04-01T09:26:53Z</cp:lastPrinted>
  <dcterms:created xsi:type="dcterms:W3CDTF">2006-02-14T13:15:00Z</dcterms:created>
  <dcterms:modified xsi:type="dcterms:W3CDTF">2021-04-01T11:20:51Z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